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codeName="ThisWorkbook" autoCompressPictures="0"/>
  <mc:AlternateContent xmlns:mc="http://schemas.openxmlformats.org/markup-compatibility/2006">
    <mc:Choice Requires="x15">
      <x15ac:absPath xmlns:x15ac="http://schemas.microsoft.com/office/spreadsheetml/2010/11/ac" url="R:\Material Specifications\Conflict Minerrals Reporting - CMRT\"/>
    </mc:Choice>
  </mc:AlternateContent>
  <xr:revisionPtr revIDLastSave="0" documentId="8_{BF01D6BC-77D4-44EC-B5F5-BC90A81663B2}" xr6:coauthVersionLast="36" xr6:coauthVersionMax="3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0" yWindow="0" windowWidth="38400" windowHeight="167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C18" i="5" l="1"/>
  <c r="B9" i="5" l="1"/>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8" i="6"/>
  <c r="C12" i="6"/>
  <c r="C4" i="6"/>
  <c r="C11" i="6"/>
  <c r="C7" i="6"/>
  <c r="C10" i="6"/>
  <c r="C9"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36" i="6" s="1"/>
  <c r="H36" i="6" s="1"/>
  <c r="D36" i="6" s="1"/>
  <c r="X18" i="5"/>
  <c r="B52" i="6"/>
  <c r="G52" i="6" s="1"/>
  <c r="B37" i="6"/>
  <c r="G37" i="6" s="1"/>
  <c r="B42" i="6"/>
  <c r="G42" i="6" s="1"/>
  <c r="B40" i="6"/>
  <c r="G40" i="6" s="1"/>
  <c r="B50" i="6"/>
  <c r="G50" i="6" s="1"/>
  <c r="B25" i="6"/>
  <c r="G25" i="6" s="1"/>
  <c r="B35" i="6"/>
  <c r="G35" i="6" s="1"/>
  <c r="C15"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41" i="6"/>
  <c r="H41" i="6" s="1"/>
  <c r="D41" i="6" s="1"/>
  <c r="J2479" i="5"/>
  <c r="I2479" i="5"/>
  <c r="E2479" i="5"/>
  <c r="X2479" i="5" s="1"/>
  <c r="R2479" i="5"/>
  <c r="H2479" i="5"/>
  <c r="G2479" i="5"/>
  <c r="F2479" i="5"/>
  <c r="F45" i="6"/>
  <c r="H45" i="6" s="1"/>
  <c r="D45" i="6" s="1"/>
  <c r="F66" i="6"/>
  <c r="F50" i="6"/>
  <c r="H50" i="6" s="1"/>
  <c r="D50" i="6" s="1"/>
  <c r="F30" i="6"/>
  <c r="H25"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F46" i="6" l="1"/>
  <c r="F31" i="6"/>
  <c r="H31" i="6" s="1"/>
  <c r="C31" i="6" s="1"/>
  <c r="F67" i="6"/>
  <c r="F54" i="6"/>
  <c r="F51" i="6"/>
  <c r="H51" i="6" s="1"/>
  <c r="D51" i="6" s="1"/>
  <c r="H26" i="6"/>
  <c r="H35" i="6"/>
  <c r="D35" i="6" s="1"/>
  <c r="H46" i="6"/>
  <c r="D46"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D19" i="6"/>
  <c r="C19" i="6"/>
  <c r="K65" i="6"/>
  <c r="D24" i="6"/>
  <c r="C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51" i="6"/>
  <c r="C35"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15" i="5"/>
  <c r="T13" i="5"/>
  <c r="T11" i="5"/>
  <c r="T8"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9" i="5"/>
  <c r="S14" i="5"/>
  <c r="S10" i="5"/>
  <c r="S12" i="5"/>
  <c r="S15" i="5"/>
  <c r="S8"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<sst xmlns="http://schemas.openxmlformats.org/spreadsheetml/2006/main" count="21814" uniqueCount="15515">
  <si>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</si>
  <si>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</si>
  <si>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</si>
  <si>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</si>
  <si>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</si>
  <si>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</si>
  <si>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</si>
  <si>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</si>
  <si>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</si>
  <si>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</si>
  <si>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</si>
  <si>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</si>
  <si>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</si>
  <si>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</si>
  <si>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</si>
  <si>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</si>
  <si>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</si>
  <si>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</si>
  <si>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</si>
  <si>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</si>
  <si>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</si>
  <si>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</si>
  <si>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</si>
  <si>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</si>
  <si>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</si>
  <si>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</si>
  <si>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</si>
  <si>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</si>
  <si>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</si>
  <si>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</si>
  <si>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</si>
  <si>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</si>
  <si>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</si>
  <si>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</si>
  <si>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</si>
  <si>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</si>
  <si>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</si>
  <si>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</si>
  <si>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</si>
  <si>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</si>
  <si>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</si>
  <si>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</si>
  <si>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</si>
  <si>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</si>
  <si>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</si>
  <si>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</si>
  <si>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</si>
  <si>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</si>
  <si>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</si>
  <si>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</si>
  <si>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</si>
  <si>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</si>
  <si>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</si>
  <si>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</si>
  <si>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</si>
  <si>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</si>
  <si>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</si>
  <si>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</si>
  <si>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</si>
  <si>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</si>
  <si>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</si>
  <si>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</si>
  <si>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</si>
  <si>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</si>
  <si>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</si>
  <si>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</si>
  <si>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</si>
  <si>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</si>
  <si>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</si>
  <si>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</si>
  <si>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</si>
  <si>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</si>
  <si>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</si>
  <si>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</si>
  <si>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</si>
  <si>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</si>
  <si>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</si>
  <si>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</si>
  <si>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</si>
  <si>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</si>
  <si>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</si>
  <si>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</si>
  <si>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</si>
  <si>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</si>
  <si>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</si>
  <si>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</si>
  <si>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</si>
  <si>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</si>
  <si>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</si>
  <si>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</si>
  <si>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</si>
  <si>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</si>
  <si>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</si>
  <si>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</si>
  <si>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</si>
  <si>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</si>
  <si>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</si>
  <si>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</si>
  <si>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</si>
  <si>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</si>
  <si>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</si>
  <si>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</si>
  <si>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</si>
  <si>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</si>
  <si>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</si>
  <si>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</si>
  <si>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</si>
  <si>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</si>
  <si>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</si>
  <si>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</si>
  <si>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</si>
  <si>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</si>
  <si>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</si>
  <si>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</si>
  <si>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</si>
  <si>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</si>
  <si>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</si>
  <si>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</si>
  <si>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</si>
  <si>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</si>
  <si>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</si>
  <si>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</si>
  <si>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</si>
  <si>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</si>
  <si>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</si>
  <si>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</si>
  <si>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</si>
  <si>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</si>
  <si>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</si>
  <si>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</si>
  <si>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</si>
  <si>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</si>
  <si>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</si>
  <si>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</si>
  <si>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</si>
  <si>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</si>
  <si>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</si>
  <si>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</si>
  <si>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</si>
  <si>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</si>
  <si>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</si>
  <si>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</si>
  <si>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</si>
  <si>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</si>
  <si>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</si>
  <si>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</si>
  <si>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</si>
  <si>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</si>
  <si>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</si>
  <si>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</si>
  <si>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</si>
  <si>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</si>
  <si>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</si>
  <si>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</si>
  <si>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</si>
  <si>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</si>
  <si>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</si>
  <si>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</si>
  <si>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</si>
  <si>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</si>
  <si>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</si>
  <si>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</si>
  <si>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</si>
  <si>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</si>
  <si>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</si>
  <si>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</si>
  <si>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</si>
  <si>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</si>
  <si>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</si>
  <si>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</si>
  <si>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</si>
  <si>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</si>
  <si>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</si>
  <si>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</si>
  <si>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</si>
  <si>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</si>
  <si>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</si>
  <si>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</si>
  <si>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</si>
  <si>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</si>
  <si>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</si>
  <si>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</si>
  <si>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</si>
  <si>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</si>
  <si>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</si>
  <si>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</si>
  <si>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</si>
  <si>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</si>
  <si>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</si>
  <si>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</si>
  <si>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</si>
  <si>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</si>
  <si>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</si>
  <si>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</si>
  <si>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</si>
  <si>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</si>
  <si>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</si>
  <si>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</si>
  <si>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</si>
  <si>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</si>
  <si>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</si>
  <si>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</si>
  <si>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</si>
  <si>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</si>
  <si>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</si>
  <si>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</si>
  <si>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</si>
  <si>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</si>
  <si>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</si>
  <si>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</si>
  <si>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</si>
  <si>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</si>
  <si>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</si>
  <si>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</si>
  <si>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</si>
  <si>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</si>
  <si>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</si>
  <si>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</si>
  <si>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</si>
  <si>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</si>
  <si>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</si>
  <si>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</si>
  <si>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</si>
  <si>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</si>
  <si>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</si>
  <si>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</si>
  <si>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</si>
  <si>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</si>
  <si>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</si>
  <si>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</si>
  <si>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</si>
  <si>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</si>
  <si>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</si>
  <si>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</si>
  <si>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</si>
  <si>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</si>
  <si>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</si>
  <si>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</si>
  <si>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</si>
  <si>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</si>
  <si>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</si>
  <si>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</si>
  <si>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</si>
  <si>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</si>
  <si>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</si>
  <si>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</si>
  <si>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</si>
  <si>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</si>
  <si>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</si>
  <si>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</si>
  <si>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</si>
  <si>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</si>
  <si>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</si>
  <si>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</si>
  <si>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</si>
  <si>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</si>
  <si>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</si>
  <si>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</si>
  <si>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</si>
  <si>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</si>
  <si>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</si>
  <si>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</si>
  <si>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</si>
  <si>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</si>
  <si>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</si>
  <si>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</si>
  <si>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</si>
  <si>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</si>
  <si>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</si>
  <si>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</si>
  <si>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</si>
  <si>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</si>
  <si>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</si>
  <si>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</si>
  <si>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</si>
  <si>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</si>
  <si>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</si>
  <si>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</si>
  <si>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</si>
  <si>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</si>
  <si>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</si>
  <si>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</si>
  <si>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</si>
  <si>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</si>
  <si>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</si>
  <si>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</si>
  <si>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</si>
  <si>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</si>
  <si>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</si>
  <si>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</si>
  <si>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</si>
  <si>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</si>
  <si>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</si>
  <si>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</si>
  <si>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</si>
  <si>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</si>
  <si>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</si>
  <si>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</si>
  <si>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</si>
  <si>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</si>
  <si>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</si>
  <si>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</si>
  <si>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</si>
  <si>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</si>
  <si>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</si>
  <si>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</si>
  <si>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</si>
  <si>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</si>
  <si>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</si>
  <si>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</si>
  <si>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</si>
  <si>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</si>
  <si>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</si>
  <si>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</si>
  <si>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</si>
  <si>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</si>
  <si>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</si>
  <si>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</si>
  <si>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</si>
  <si>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</si>
  <si>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</si>
  <si>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</si>
  <si>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</si>
  <si>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</si>
  <si>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</si>
  <si>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</si>
  <si>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</si>
  <si>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</si>
  <si>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</si>
  <si>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</si>
  <si>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</si>
  <si>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</si>
  <si>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</si>
  <si>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</si>
  <si>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</si>
  <si>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</si>
  <si>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</si>
  <si>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</si>
  <si>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</si>
  <si>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</si>
  <si>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</si>
  <si>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</si>
  <si>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</si>
  <si>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</si>
  <si>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</si>
  <si>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</si>
  <si>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</si>
  <si>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</si>
  <si>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</si>
  <si>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</si>
  <si>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</si>
  <si>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</si>
  <si>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</si>
  <si>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</si>
  <si>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</si>
  <si>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</si>
  <si>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</si>
  <si>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</si>
  <si>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</si>
  <si>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</si>
  <si>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</si>
  <si>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</si>
  <si>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</si>
  <si>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</si>
  <si>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</si>
  <si>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</si>
  <si>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</si>
  <si>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</si>
  <si>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</si>
  <si>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</si>
  <si>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</si>
  <si>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</si>
  <si>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</si>
  <si>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</si>
  <si>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</si>
  <si>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</si>
  <si>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</si>
  <si>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</si>
  <si>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</si>
  <si>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</si>
  <si>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</si>
  <si>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</si>
  <si>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</si>
  <si>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</si>
  <si>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</si>
  <si>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</si>
  <si>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</si>
  <si>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</si>
  <si>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</si>
  <si>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</si>
  <si>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</si>
  <si>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</si>
  <si>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</si>
  <si>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</si>
  <si>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</si>
  <si>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</si>
  <si>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</si>
  <si>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</si>
  <si>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</si>
  <si>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</si>
  <si>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</si>
  <si>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</si>
  <si>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</si>
  <si>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</si>
  <si>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</si>
  <si>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</si>
  <si>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</si>
  <si>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</si>
  <si>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</si>
  <si>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</si>
  <si>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</si>
  <si>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</si>
  <si>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</si>
  <si>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</si>
  <si>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</si>
  <si>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</si>
  <si>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</si>
  <si>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</si>
  <si>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</si>
  <si>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</si>
  <si>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</si>
  <si>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</si>
  <si>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</si>
  <si>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</si>
  <si>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</si>
  <si>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</si>
  <si>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</si>
  <si>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</si>
  <si>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</si>
  <si>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</si>
  <si>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</si>
  <si>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</si>
  <si>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</si>
  <si>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</si>
  <si>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</si>
  <si>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</si>
  <si>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</si>
  <si>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</si>
  <si>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</si>
  <si>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</si>
  <si>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</si>
  <si>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</si>
  <si>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</si>
  <si>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</si>
  <si>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</si>
  <si>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</si>
  <si>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</si>
  <si>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</si>
  <si>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</si>
  <si>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</si>
  <si>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</si>
  <si>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</si>
  <si>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</si>
  <si>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</si>
  <si>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</si>
  <si>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</si>
  <si>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</si>
  <si>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</si>
  <si>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</si>
  <si>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</si>
  <si>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</si>
  <si>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</si>
  <si>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</si>
  <si>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</si>
  <si>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</si>
  <si>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</si>
  <si>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</si>
  <si>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</si>
  <si>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</si>
  <si>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</si>
  <si>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</si>
  <si>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</si>
  <si>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</si>
  <si>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</si>
  <si>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</si>
  <si>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</si>
  <si>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</si>
  <si>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</si>
  <si>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</si>
  <si>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</si>
  <si>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</si>
  <si>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</si>
  <si>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</si>
  <si>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</si>
  <si>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</si>
  <si>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</si>
  <si>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</si>
  <si>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</si>
  <si>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</si>
  <si>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</si>
  <si>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</si>
  <si>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</si>
  <si>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</si>
  <si>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</si>
  <si>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</si>
  <si>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</si>
  <si>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</si>
  <si>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</si>
  <si>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</si>
  <si>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</si>
  <si>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</si>
  <si>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</si>
  <si>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</si>
  <si>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</si>
  <si>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</si>
  <si>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</si>
  <si>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</si>
  <si>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</si>
  <si>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</si>
  <si>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</si>
  <si>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</si>
  <si>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</si>
  <si>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</si>
  <si>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</si>
  <si>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</si>
  <si>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</si>
  <si>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</si>
  <si>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</si>
  <si>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</si>
  <si>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</si>
  <si>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</si>
  <si>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</si>
  <si>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</si>
  <si>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</si>
  <si>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</si>
  <si>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</si>
  <si>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</si>
  <si>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</si>
  <si>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</si>
  <si>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</si>
  <si>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</si>
  <si>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</si>
  <si>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</si>
  <si>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</si>
  <si>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</si>
  <si>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</si>
  <si>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</si>
  <si>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</si>
  <si>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</si>
  <si>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</si>
  <si>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</si>
  <si>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</si>
  <si>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</si>
  <si>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</si>
  <si>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</si>
  <si>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</si>
  <si>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</si>
  <si>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</si>
  <si>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</si>
  <si>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</si>
  <si>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</si>
  <si>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</si>
  <si>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</si>
  <si>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</si>
  <si>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</si>
  <si>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</si>
  <si>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</si>
  <si>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</si>
  <si>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</si>
  <si>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</si>
  <si>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</si>
  <si>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</si>
  <si>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</si>
  <si>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</si>
  <si>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</si>
  <si>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</si>
  <si>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</si>
  <si>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</si>
  <si>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</si>
  <si>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</si>
  <si>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</si>
  <si>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</si>
  <si>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</si>
  <si>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</si>
  <si>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</si>
  <si>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</si>
  <si>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</si>
  <si>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</si>
  <si>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</si>
  <si>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</si>
  <si>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</si>
  <si>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</si>
  <si>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</si>
  <si>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</si>
  <si>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</si>
  <si>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</si>
  <si>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</si>
  <si>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</si>
  <si>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</si>
  <si>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</si>
  <si>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</si>
  <si>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</si>
  <si>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</si>
  <si>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</si>
  <si>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</si>
  <si>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</si>
  <si>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</si>
  <si>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</si>
  <si>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</si>
  <si>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</si>
  <si>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</si>
  <si>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</si>
  <si>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</si>
  <si>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</si>
  <si>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</si>
  <si>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</si>
  <si>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</si>
  <si>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</si>
  <si>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</si>
  <si>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</si>
  <si>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</si>
  <si>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</si>
  <si>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</si>
  <si>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</si>
  <si>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</si>
  <si>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</si>
  <si>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</si>
  <si>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</si>
  <si>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</si>
  <si>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</si>
  <si>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</si>
  <si>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</si>
  <si>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</si>
  <si>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</si>
  <si>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</si>
  <si>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</si>
  <si>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</si>
  <si>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</si>
  <si>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</si>
  <si>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</si>
  <si>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</si>
  <si>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</si>
  <si>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</si>
  <si>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</si>
  <si>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</si>
  <si>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</si>
  <si>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</si>
  <si>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</si>
  <si>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</si>
  <si>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</si>
  <si>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</si>
  <si>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</si>
  <si>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</si>
  <si>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</si>
  <si>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</si>
  <si>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</si>
  <si>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</si>
  <si>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</si>
  <si>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</si>
  <si>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</si>
  <si>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</si>
  <si>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</si>
  <si>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</si>
  <si>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</si>
  <si>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</si>
  <si>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</si>
  <si>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</si>
  <si>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</si>
  <si>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</si>
  <si>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</si>
  <si>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</si>
  <si>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</si>
  <si>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</si>
  <si>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</si>
  <si>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</si>
  <si>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</si>
  <si>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</si>
  <si>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</si>
  <si>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</si>
  <si>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</si>
  <si>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</si>
  <si>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</si>
  <si>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</si>
  <si>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</si>
  <si>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</si>
  <si>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</si>
  <si>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</si>
  <si>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</si>
  <si>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</si>
  <si>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</si>
  <si>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</si>
  <si>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</si>
  <si>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</si>
  <si>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</si>
  <si>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</si>
  <si>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</si>
  <si>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</si>
  <si>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</si>
  <si>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</si>
  <si>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</si>
  <si>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</si>
  <si>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</si>
  <si>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</si>
  <si>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</si>
  <si>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</si>
  <si>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</si>
  <si>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</si>
  <si>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</si>
  <si>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</si>
  <si>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</si>
  <si>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</si>
  <si>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</si>
  <si>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</si>
  <si>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</si>
  <si>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</si>
  <si>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</si>
  <si>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</si>
  <si>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</si>
  <si>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</si>
  <si>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</si>
  <si>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</si>
  <si>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</si>
  <si>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</si>
  <si>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</si>
  <si>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</si>
  <si>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</si>
  <si>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</si>
  <si>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</si>
  <si>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</si>
  <si>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</si>
  <si>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</si>
  <si>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</si>
  <si>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</si>
  <si>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</si>
  <si>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</si>
  <si>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</si>
  <si>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</si>
  <si>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</si>
  <si>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</si>
  <si>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</si>
  <si>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</si>
  <si>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</si>
  <si>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</si>
  <si>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</si>
  <si>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</si>
  <si>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</si>
  <si>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</si>
  <si>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</si>
  <si>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</si>
  <si>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</si>
  <si>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</si>
  <si>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</si>
  <si>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</si>
  <si>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</si>
  <si>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</si>
  <si>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</si>
  <si>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</si>
  <si>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</si>
  <si>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</si>
  <si>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</si>
  <si>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</si>
  <si>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</si>
  <si>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</si>
  <si>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</si>
  <si>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</si>
  <si>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</si>
  <si>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</si>
  <si>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</si>
  <si>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</si>
  <si>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</si>
  <si>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</si>
  <si>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</si>
  <si>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</si>
  <si>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</si>
  <si>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</si>
  <si>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</si>
  <si>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</si>
  <si>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</si>
  <si>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</si>
  <si>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</si>
  <si>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</si>
  <si>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</si>
  <si>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</si>
  <si>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</si>
  <si>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</si>
  <si>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</si>
  <si>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</si>
  <si>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</si>
  <si>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</si>
  <si>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</si>
  <si>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</si>
  <si>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</si>
  <si>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</si>
  <si>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</si>
  <si>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</si>
  <si>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</si>
  <si>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</si>
  <si>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</si>
  <si>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</si>
  <si>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</si>
  <si>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</si>
  <si>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</si>
  <si>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</si>
  <si>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</si>
  <si>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</si>
  <si>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</si>
  <si>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</si>
  <si>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</si>
  <si>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</si>
  <si>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</si>
  <si>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</si>
  <si>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</si>
  <si>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</si>
  <si>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</si>
  <si>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</si>
  <si>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</si>
  <si>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</si>
  <si>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</si>
  <si>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</si>
  <si>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</si>
  <si>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</si>
  <si>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</si>
  <si>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</si>
  <si>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</si>
  <si>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</si>
  <si>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</si>
  <si>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</si>
  <si>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</si>
  <si>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</si>
  <si>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</si>
  <si>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</si>
  <si>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</si>
  <si>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</si>
  <si>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</si>
  <si>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</si>
  <si>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</si>
  <si>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</si>
  <si>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</si>
  <si>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</si>
  <si>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</si>
  <si>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</si>
  <si>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</si>
  <si>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</si>
  <si>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</si>
  <si>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</si>
  <si>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</si>
  <si>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</si>
  <si>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</si>
  <si>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</si>
  <si>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</si>
  <si>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</si>
  <si>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</si>
  <si>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</si>
  <si>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</si>
  <si>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</si>
  <si>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</si>
  <si>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</si>
  <si>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</si>
  <si>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</si>
  <si>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</si>
  <si>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</si>
  <si>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</si>
  <si>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</si>
  <si>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</si>
  <si>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</si>
  <si>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</si>
  <si>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</si>
  <si>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</si>
  <si>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</si>
  <si>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</si>
  <si>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</si>
  <si>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</si>
  <si>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</si>
  <si>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</si>
  <si>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</si>
  <si>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</si>
  <si>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</si>
  <si>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</si>
  <si>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</si>
  <si>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</si>
  <si>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</si>
  <si>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</si>
  <si>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</si>
  <si>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</si>
  <si>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</si>
  <si>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</si>
  <si>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</si>
  <si>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</si>
  <si>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</si>
  <si>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</si>
  <si>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</si>
  <si>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</si>
  <si>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</si>
  <si>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</si>
  <si>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</si>
  <si>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</si>
  <si>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</si>
  <si>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</si>
  <si>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</si>
  <si>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</si>
  <si>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</si>
  <si>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</si>
  <si>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</si>
  <si>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</si>
  <si>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</si>
  <si>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</si>
  <si>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</si>
  <si>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</si>
  <si>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</si>
  <si>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</si>
  <si>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</si>
  <si>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</si>
  <si>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</si>
  <si>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</si>
  <si>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</si>
  <si>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</si>
  <si>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</si>
  <si>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</si>
  <si>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</si>
  <si>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</si>
  <si>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</si>
  <si>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</si>
  <si>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</si>
  <si>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</si>
  <si>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</si>
  <si>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</si>
  <si>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</si>
  <si>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</si>
  <si>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</si>
  <si>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</si>
  <si>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</si>
  <si>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</si>
  <si>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</si>
  <si>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</si>
  <si>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</si>
  <si>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</si>
  <si>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</si>
  <si>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</si>
  <si>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</si>
  <si>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</si>
  <si>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</si>
  <si>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</si>
  <si>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</si>
  <si>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</si>
  <si>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</si>
  <si>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</si>
  <si>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</si>
  <si>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</si>
  <si>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</si>
  <si>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</si>
  <si>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</si>
  <si>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</si>
  <si>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</si>
  <si>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</si>
  <si>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</si>
  <si>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</si>
  <si>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</si>
  <si>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</si>
  <si>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</si>
  <si>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</si>
  <si>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</si>
  <si>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</si>
  <si>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</si>
  <si>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</si>
  <si>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</si>
  <si>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</si>
  <si>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</si>
  <si>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</si>
  <si>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</si>
  <si>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</si>
  <si>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</si>
  <si>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</si>
  <si>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</si>
  <si>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</si>
  <si>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</si>
  <si>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</si>
  <si>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</si>
  <si>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</si>
  <si>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</si>
  <si>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</si>
  <si>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</si>
  <si>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</si>
  <si>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</si>
  <si>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</si>
  <si>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</si>
  <si>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</si>
  <si>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</si>
  <si>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</si>
  <si>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</si>
  <si>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</si>
  <si>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</si>
  <si>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</si>
  <si>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</si>
  <si>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</si>
  <si>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</si>
  <si>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</si>
  <si>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</si>
  <si>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</si>
  <si>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</si>
  <si>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</si>
  <si>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</si>
  <si>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</si>
  <si>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</si>
  <si>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</si>
  <si>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</si>
  <si>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</si>
  <si>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</si>
  <si>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</si>
  <si>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</si>
  <si>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</si>
  <si>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</si>
  <si>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</si>
  <si>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</si>
  <si>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</si>
  <si>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</si>
  <si>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</si>
  <si>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</si>
  <si>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</si>
  <si>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</si>
  <si>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</si>
  <si>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</si>
  <si>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</si>
  <si>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</si>
  <si>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</si>
  <si>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</si>
  <si>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</si>
  <si>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</si>
  <si>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</si>
  <si>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</si>
  <si>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</si>
  <si>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</si>
  <si>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</si>
  <si>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</si>
  <si>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</si>
  <si>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</si>
  <si>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</si>
  <si>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</si>
  <si>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</si>
  <si>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</si>
  <si>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</si>
  <si>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</si>
  <si>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</si>
  <si>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</si>
  <si>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</si>
  <si>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</si>
  <si>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</si>
  <si>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</si>
  <si>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</si>
  <si>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</si>
  <si>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</si>
  <si>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</si>
  <si>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</si>
  <si>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</si>
  <si>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</si>
  <si>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</si>
  <si>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</si>
  <si>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</si>
  <si>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</si>
  <si>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</si>
  <si>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</si>
  <si>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</si>
  <si>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</si>
  <si>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</si>
  <si>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</si>
  <si>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</si>
  <si>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</si>
  <si>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</si>
  <si>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</si>
  <si>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</si>
  <si>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</si>
  <si>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</si>
  <si>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</si>
  <si>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</si>
  <si>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</si>
  <si>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</si>
  <si>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</si>
  <si>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</si>
  <si>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</si>
  <si>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</si>
  <si>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</si>
  <si>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</si>
  <si>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</si>
  <si>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</si>
  <si>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</si>
  <si>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</si>
  <si>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</si>
  <si>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</si>
  <si>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</si>
  <si>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</si>
  <si>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</si>
  <si>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</si>
  <si>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</si>
  <si>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</si>
  <si>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</si>
  <si>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</si>
  <si>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</si>
  <si>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</si>
  <si>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</si>
  <si>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</si>
  <si>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</si>
  <si>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</si>
  <si>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</si>
  <si>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</si>
  <si>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</si>
  <si>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</si>
  <si>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</si>
  <si>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</si>
  <si>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</si>
  <si>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</si>
  <si>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</si>
  <si>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</si>
  <si>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</si>
  <si>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</si>
  <si>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</si>
  <si>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</si>
  <si>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</si>
  <si>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</si>
  <si>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</si>
  <si>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</si>
  <si>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</si>
  <si>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</si>
  <si>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</si>
  <si>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</si>
  <si>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</si>
  <si>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</si>
  <si>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</si>
  <si>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</si>
  <si>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</si>
  <si>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</si>
  <si>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</si>
  <si>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</si>
  <si>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</si>
  <si>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</si>
  <si>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</si>
  <si>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</si>
  <si>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</si>
  <si>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</si>
  <si>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</si>
  <si>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</si>
  <si>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</si>
  <si>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</si>
  <si>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</si>
  <si>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</si>
  <si>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</si>
  <si>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</si>
  <si>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</si>
  <si>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</si>
  <si>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</si>
  <si>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</si>
  <si>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</si>
  <si>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</si>
  <si>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</si>
  <si>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</si>
  <si>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</si>
  <si>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</si>
  <si>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</si>
  <si>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</si>
  <si>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</si>
  <si>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</si>
  <si>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</si>
  <si>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</si>
  <si>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</si>
  <si>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</si>
  <si>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</si>
  <si>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</si>
  <si>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</si>
  <si>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</si>
  <si>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</si>
  <si>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</si>
  <si>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</si>
  <si>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</si>
  <si>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</si>
  <si>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</si>
  <si>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</si>
  <si>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</si>
  <si>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</si>
  <si>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</si>
  <si>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</si>
  <si>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</si>
  <si>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</si>
  <si>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</si>
  <si>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</si>
  <si>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</si>
  <si>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</si>
  <si>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</si>
  <si>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</si>
  <si>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</si>
  <si>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</si>
  <si>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</si>
  <si>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</si>
  <si>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</si>
  <si>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</si>
  <si>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</si>
  <si>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</si>
  <si>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</si>
  <si>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</si>
  <si>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</si>
  <si>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</si>
  <si>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</si>
  <si>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</si>
  <si>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</si>
  <si>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</si>
  <si>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</si>
  <si>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</si>
  <si>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</si>
  <si>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</si>
  <si>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</si>
  <si>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</si>
  <si>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</si>
  <si>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</si>
  <si>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</si>
  <si>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</si>
  <si>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</si>
  <si>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</si>
  <si>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</si>
  <si>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</si>
  <si>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</si>
  <si>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</si>
  <si>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</si>
  <si>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</si>
  <si>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</si>
  <si>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</si>
  <si>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</si>
  <si>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</si>
  <si>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</si>
  <si>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</si>
  <si>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</si>
  <si>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</si>
  <si>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</si>
  <si>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</si>
  <si>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</si>
  <si>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</si>
  <si>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</si>
  <si>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</si>
  <si>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</si>
  <si>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</si>
  <si>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</si>
  <si>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</si>
  <si>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</si>
  <si>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</si>
  <si>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</si>
  <si>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</si>
  <si>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</si>
  <si>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</si>
  <si>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</si>
  <si>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</si>
  <si>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</si>
  <si>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</si>
  <si>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</si>
  <si>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</si>
  <si>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</si>
  <si>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</si>
  <si>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</si>
  <si>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</si>
  <si>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</si>
  <si>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</si>
  <si>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</si>
  <si>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</si>
  <si>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</si>
  <si>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</si>
  <si>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</si>
  <si>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</si>
  <si>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</si>
  <si>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</si>
  <si>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</si>
  <si>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</si>
  <si>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</si>
  <si>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</si>
  <si>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</si>
  <si>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</si>
  <si>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</si>
  <si>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</si>
  <si>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</si>
  <si>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</si>
  <si>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</si>
  <si>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</si>
  <si>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</si>
  <si>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</si>
  <si>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</si>
  <si>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</si>
  <si>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</si>
  <si>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</si>
  <si>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</si>
  <si>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</si>
  <si>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</si>
  <si>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</si>
  <si>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</si>
  <si>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</si>
  <si>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</si>
  <si>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</si>
  <si>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</si>
  <si>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</si>
  <si>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</si>
  <si>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</si>
  <si>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</si>
  <si>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</si>
  <si>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</si>
  <si>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</si>
  <si>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</si>
  <si>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</si>
  <si>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</si>
  <si>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</si>
  <si>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</si>
  <si>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</si>
  <si>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</si>
  <si>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</si>
  <si>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</si>
  <si>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</si>
  <si>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</si>
  <si>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</si>
  <si>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</si>
  <si>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</si>
  <si>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</si>
  <si>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</si>
  <si>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</si>
  <si>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</si>
  <si>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</si>
  <si>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</si>
  <si>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</si>
  <si>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</si>
  <si>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</si>
  <si>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</si>
  <si>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</si>
  <si>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</si>
  <si>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</si>
  <si>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</si>
  <si>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</si>
  <si>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</si>
  <si>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</si>
  <si>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</si>
  <si>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</si>
  <si>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</si>
  <si>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</si>
  <si>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</si>
  <si>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</si>
  <si>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</si>
  <si>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</si>
  <si>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</si>
  <si>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</si>
  <si>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</si>
  <si>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</si>
  <si>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</si>
  <si>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</si>
  <si>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</si>
  <si>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</si>
  <si>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</si>
  <si>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</si>
  <si>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</si>
  <si>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</si>
  <si>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</si>
  <si>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</si>
  <si>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</si>
  <si>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</si>
  <si>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</si>
  <si>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</si>
  <si>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</si>
  <si>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</si>
  <si>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</si>
  <si>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</si>
  <si>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</si>
  <si>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</si>
  <si>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</si>
  <si>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</si>
  <si>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</si>
  <si>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</si>
  <si>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</si>
  <si>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</si>
  <si>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</si>
  <si>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</si>
  <si>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</si>
  <si>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</si>
  <si>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</si>
  <si>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</si>
  <si>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</si>
  <si>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</si>
  <si>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</si>
  <si>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</si>
  <si>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</si>
  <si>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</si>
  <si>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</si>
  <si>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</si>
  <si>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</si>
  <si>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</si>
  <si>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</si>
  <si>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</si>
  <si>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</si>
  <si>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</si>
  <si>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</si>
  <si>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</si>
  <si>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</si>
  <si>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</si>
  <si>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</si>
  <si>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</si>
  <si>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</si>
  <si>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</si>
  <si>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</si>
  <si>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</si>
  <si>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</si>
  <si>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</si>
  <si>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</si>
  <si>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</si>
  <si>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</si>
  <si>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</si>
  <si>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</si>
  <si>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</si>
  <si>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</si>
  <si>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</si>
  <si>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</si>
  <si>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</si>
  <si>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</si>
  <si>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</si>
  <si>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</si>
  <si>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</si>
  <si>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</si>
  <si>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</si>
  <si>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</si>
  <si>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</si>
  <si>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</si>
  <si>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</si>
  <si>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</si>
  <si>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</si>
  <si>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</si>
  <si>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</si>
  <si>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</si>
  <si>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</si>
  <si>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</si>
  <si>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</si>
  <si>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</si>
  <si>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</si>
  <si>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</si>
  <si>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</si>
  <si>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</si>
  <si>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</si>
  <si>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</si>
  <si>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</si>
  <si>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</si>
  <si>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</si>
  <si>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</si>
  <si>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</si>
  <si>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</si>
  <si>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</si>
  <si>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</si>
  <si>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</si>
  <si>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</si>
  <si>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</si>
  <si>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</si>
  <si>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</si>
  <si>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</si>
  <si>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</si>
  <si>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</si>
  <si>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</si>
  <si>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</si>
  <si>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</si>
  <si>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</si>
  <si>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</si>
  <si>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</si>
  <si>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</si>
  <si>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</si>
  <si>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</si>
  <si>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</si>
  <si>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</si>
  <si>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</si>
  <si>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</si>
  <si>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</si>
  <si>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</si>
  <si>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</si>
  <si>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</si>
  <si>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</si>
  <si>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</si>
  <si>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</si>
  <si>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</si>
  <si>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</si>
  <si>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</si>
  <si>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</si>
  <si>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</si>
  <si>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</si>
  <si>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</si>
  <si>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</si>
  <si>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</si>
  <si>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</si>
  <si>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</si>
  <si>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</si>
  <si>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</si>
  <si>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</si>
  <si>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</si>
  <si>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</si>
  <si>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</si>
  <si>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</si>
  <si>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</si>
  <si>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</si>
  <si>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</si>
  <si>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</si>
  <si>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</si>
  <si>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</si>
  <si>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</si>
  <si>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</si>
  <si>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</si>
  <si>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</si>
  <si>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</si>
  <si>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</si>
  <si>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</si>
  <si>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</si>
  <si>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</si>
  <si>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</si>
  <si>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</si>
  <si>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</si>
  <si>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</si>
  <si>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</si>
  <si>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</si>
  <si>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</si>
  <si>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</si>
  <si>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</si>
  <si>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</si>
  <si>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</si>
  <si>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</si>
  <si>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</si>
  <si>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</si>
  <si>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</si>
  <si>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</si>
  <si>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</si>
  <si>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</si>
  <si>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</si>
  <si>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</si>
  <si>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</si>
  <si>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</si>
  <si>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</si>
  <si>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</si>
  <si>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</si>
  <si>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</si>
  <si>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</si>
  <si>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</si>
  <si>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</si>
  <si>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</si>
  <si>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</si>
  <si>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</si>
  <si>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</si>
  <si>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</si>
  <si>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</si>
  <si>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</si>
  <si>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</si>
  <si>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</si>
  <si>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</si>
  <si>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</si>
  <si>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</si>
  <si>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</si>
  <si>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</si>
  <si>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</si>
  <si>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</si>
  <si>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</si>
  <si>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</si>
  <si>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</si>
  <si>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</si>
  <si>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</si>
  <si>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</si>
  <si>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</si>
  <si>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</si>
  <si>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</si>
  <si>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</si>
  <si>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</si>
  <si>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</si>
  <si>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</si>
  <si>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</si>
  <si>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</si>
  <si>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</si>
  <si>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</si>
  <si>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</si>
  <si>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</si>
  <si>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</si>
  <si>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</si>
  <si>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</si>
  <si>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</si>
  <si>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</si>
  <si>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</si>
  <si>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</si>
  <si>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</si>
  <si>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</si>
  <si>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</si>
  <si>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</si>
  <si>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</si>
  <si>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</si>
  <si>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</si>
  <si>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</si>
  <si>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</si>
  <si>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</si>
  <si>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</si>
  <si>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</si>
  <si>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</si>
  <si>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</si>
  <si>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</si>
  <si>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</si>
  <si>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</si>
  <si>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</si>
  <si>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</si>
  <si>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</si>
  <si>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</si>
  <si>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</si>
  <si>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</si>
  <si>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</si>
  <si>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</si>
  <si>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</si>
  <si>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</si>
  <si>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</si>
  <si>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</si>
  <si>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</si>
  <si>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</si>
  <si>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</si>
  <si>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</si>
  <si>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</si>
  <si>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</si>
  <si>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</si>
  <si>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</si>
  <si>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</si>
  <si>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</si>
  <si>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</si>
  <si>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</si>
  <si>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</si>
  <si>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</si>
  <si>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</si>
  <si>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</si>
  <si>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</si>
  <si>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</si>
  <si>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</si>
  <si>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</si>
  <si>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</si>
  <si>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</si>
  <si>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</si>
  <si>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</si>
  <si>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</si>
  <si>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</si>
  <si>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</si>
  <si>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</si>
  <si>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</si>
  <si>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</si>
  <si>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</si>
  <si>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</si>
  <si>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</si>
  <si>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</si>
  <si>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</si>
  <si>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</si>
  <si>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</si>
  <si>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</si>
  <si>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</si>
  <si>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</si>
  <si>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</si>
  <si>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</si>
  <si>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</si>
  <si>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</si>
  <si>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</si>
  <si>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</si>
  <si>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</si>
  <si>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</si>
  <si>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</si>
  <si>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</si>
  <si>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</si>
  <si>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</si>
  <si>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</si>
  <si>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</si>
  <si>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</si>
  <si>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</si>
  <si>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</si>
  <si>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</si>
  <si>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</si>
  <si>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</si>
  <si>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</si>
  <si>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</si>
  <si>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</si>
  <si>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</si>
  <si>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</si>
  <si>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</si>
  <si>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</si>
  <si>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</si>
  <si>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</si>
  <si>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</si>
  <si>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</si>
  <si>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</si>
  <si>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</si>
  <si>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</si>
  <si>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</si>
  <si>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</si>
  <si>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</si>
  <si>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</si>
  <si>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</si>
  <si>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</si>
  <si>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</si>
  <si>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</si>
  <si>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</si>
  <si>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</si>
  <si>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</si>
  <si>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</si>
  <si>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</si>
  <si>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</si>
  <si>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</si>
  <si>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</si>
  <si>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</si>
  <si>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</si>
  <si>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</si>
  <si>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</si>
  <si>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</si>
  <si>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</si>
  <si>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</si>
  <si>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</si>
  <si>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</si>
  <si>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</si>
  <si>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</si>
  <si>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</si>
  <si>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</si>
  <si>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</si>
  <si>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</si>
  <si>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</si>
  <si>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</si>
  <si>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</si>
  <si>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</si>
  <si>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</si>
  <si>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</si>
  <si>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</si>
  <si>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</si>
  <si>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</si>
  <si>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</si>
  <si>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</si>
  <si>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</si>
  <si>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</si>
  <si>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</si>
  <si>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</si>
  <si>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</si>
  <si>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</si>
  <si>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</si>
  <si>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</si>
  <si>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</si>
  <si>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</si>
  <si>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</si>
  <si>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</si>
  <si>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</si>
  <si>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</si>
  <si>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</si>
  <si>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</si>
  <si>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</si>
  <si>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</si>
  <si>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</si>
  <si>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</si>
  <si>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</si>
  <si>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</si>
  <si>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</si>
  <si>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</si>
  <si>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</si>
  <si>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</si>
  <si>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</si>
  <si>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</si>
  <si>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</si>
  <si>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</si>
  <si>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</si>
  <si>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</si>
  <si>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</si>
  <si>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</si>
  <si>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</si>
  <si>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</si>
  <si>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</si>
  <si>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</si>
  <si>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</si>
  <si>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</si>
  <si>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</si>
  <si>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</si>
  <si>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</si>
  <si>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</si>
  <si>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</si>
  <si>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</si>
  <si>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</si>
  <si>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</si>
  <si>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</si>
  <si>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</si>
  <si>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</si>
  <si>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</si>
  <si>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</si>
  <si>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</si>
  <si>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</si>
  <si>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</si>
  <si>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</si>
  <si>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</si>
  <si>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</si>
  <si>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</si>
  <si>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</si>
  <si>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</si>
  <si>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</si>
  <si>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</si>
  <si>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</si>
  <si>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</si>
  <si>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</si>
  <si>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</si>
  <si>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</si>
  <si>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</si>
  <si>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</si>
  <si>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</si>
  <si>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</si>
  <si>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</si>
  <si>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</si>
  <si>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</si>
  <si>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</si>
  <si>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</si>
  <si>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</si>
  <si>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</si>
  <si>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</si>
  <si>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</si>
  <si>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</si>
  <si>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</si>
  <si>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</si>
  <si>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</si>
  <si>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</si>
  <si>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</si>
  <si>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</si>
  <si>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</si>
  <si>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</si>
  <si>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</si>
  <si>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</si>
  <si>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</si>
  <si>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</si>
  <si>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</si>
  <si>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</si>
  <si>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</si>
  <si>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</si>
  <si>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</si>
  <si>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</si>
  <si>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</si>
  <si>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</si>
  <si>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</si>
  <si>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</si>
  <si>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</si>
  <si>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</si>
  <si>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</si>
  <si>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</si>
  <si>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</si>
  <si>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</si>
  <si>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</si>
  <si>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</si>
  <si>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</si>
  <si>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</si>
  <si>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</si>
  <si>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</si>
  <si>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</si>
  <si>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</si>
  <si>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</si>
  <si>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</si>
  <si>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</si>
  <si>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</si>
  <si>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</si>
  <si>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</si>
  <si>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</si>
  <si>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</si>
  <si>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</si>
  <si>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</si>
  <si>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</si>
  <si>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</si>
  <si>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</si>
  <si>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</si>
  <si>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</si>
  <si>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</si>
  <si>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</si>
  <si>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</si>
  <si>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</si>
  <si>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</si>
  <si>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</si>
  <si>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</si>
  <si>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</si>
  <si>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</si>
  <si>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</si>
  <si>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</si>
  <si>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</si>
  <si>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</si>
  <si>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</si>
  <si>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</si>
  <si>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</si>
  <si>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</si>
  <si>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</si>
  <si>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</si>
  <si>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</si>
  <si>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</si>
  <si>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</si>
  <si>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</si>
  <si>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</si>
  <si>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</si>
  <si>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</si>
  <si>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</si>
  <si>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</si>
  <si>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</si>
  <si>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</si>
  <si>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</si>
  <si>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</si>
  <si>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</si>
  <si>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</si>
  <si>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</si>
  <si>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</si>
  <si>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</si>
  <si>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</si>
  <si>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</si>
  <si>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</si>
  <si>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</si>
  <si>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</si>
  <si>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</si>
  <si>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</si>
  <si>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</si>
  <si>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</si>
  <si>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</si>
  <si>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</si>
  <si>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</si>
  <si>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</si>
  <si>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</si>
  <si>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</si>
  <si>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</si>
  <si>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</si>
  <si>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</si>
  <si>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</si>
  <si>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</si>
  <si>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</si>
  <si>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</si>
  <si>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</si>
  <si>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</si>
  <si>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</si>
  <si>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</si>
  <si>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</si>
  <si>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</si>
  <si>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</si>
  <si>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</si>
  <si>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</si>
  <si>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</si>
  <si>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</si>
  <si>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</si>
  <si>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</si>
  <si>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</si>
  <si>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</si>
  <si>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</si>
  <si>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</si>
  <si>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</si>
  <si>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</si>
  <si>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</si>
  <si>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</si>
  <si>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</si>
  <si>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</si>
  <si>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</si>
  <si>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</si>
  <si>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</si>
  <si>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</si>
  <si>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</si>
  <si>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</si>
  <si>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</si>
  <si>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</si>
  <si>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</si>
  <si>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</si>
  <si>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</si>
  <si>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</si>
  <si>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</si>
  <si>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</si>
  <si>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</si>
  <si>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</si>
  <si>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</si>
  <si>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</si>
  <si>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</si>
  <si>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</si>
  <si>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</si>
  <si>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</si>
  <si>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</si>
  <si>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</si>
  <si>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</si>
  <si>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</si>
  <si>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</si>
  <si>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</si>
  <si>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</si>
  <si>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</si>
  <si>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</si>
  <si>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</si>
  <si>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</si>
  <si>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</si>
  <si>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</si>
  <si>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</si>
  <si>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</si>
  <si>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</si>
  <si>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</si>
  <si>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</si>
  <si>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</si>
  <si>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</si>
  <si>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</si>
  <si>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</si>
  <si>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</si>
  <si>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</si>
  <si>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</si>
  <si>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</si>
  <si>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</si>
  <si>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</si>
  <si>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</si>
  <si>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</si>
  <si>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</si>
  <si>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</si>
  <si>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</si>
  <si>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</si>
  <si>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</si>
  <si>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</si>
  <si>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</si>
  <si>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</si>
  <si>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</si>
  <si>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</si>
  <si>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</si>
  <si>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</si>
  <si>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</si>
  <si>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</si>
  <si>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</si>
  <si>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</si>
  <si>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</si>
  <si>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</si>
  <si>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</si>
  <si>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</si>
  <si>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</si>
  <si>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</si>
  <si>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</si>
  <si>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</si>
  <si>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</si>
  <si>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</si>
  <si>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</si>
  <si>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</si>
  <si>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</si>
  <si>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</si>
  <si>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</si>
  <si>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</si>
  <si>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</si>
  <si>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</si>
  <si>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</si>
  <si>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</si>
  <si>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</si>
  <si>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</si>
  <si>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</si>
  <si>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</si>
  <si>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</si>
  <si>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</si>
  <si>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</si>
  <si>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</si>
  <si>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</si>
  <si>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</si>
  <si>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</si>
  <si>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</si>
  <si>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</si>
  <si>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</si>
  <si>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</si>
  <si>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</si>
  <si>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</si>
  <si>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</si>
  <si>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</si>
  <si>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</si>
  <si>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</si>
  <si>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</si>
  <si>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</si>
  <si>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</si>
  <si>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</si>
  <si>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</si>
  <si>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</si>
  <si>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</si>
  <si>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</si>
  <si>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</si>
  <si>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</si>
  <si>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</si>
  <si>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</si>
  <si>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</si>
  <si>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</si>
  <si>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</si>
  <si>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</si>
  <si>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</si>
  <si>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</si>
  <si>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</si>
  <si>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</si>
  <si>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</si>
  <si>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</si>
  <si>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</si>
  <si>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</si>
  <si>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</si>
  <si>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</si>
  <si>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</si>
  <si>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</si>
  <si>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</si>
  <si>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</si>
  <si>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</si>
  <si>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</si>
  <si>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</si>
  <si>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</si>
  <si>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</si>
  <si>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</si>
  <si>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</si>
  <si>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</si>
  <si>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</si>
  <si>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</si>
  <si>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</si>
  <si>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</si>
  <si>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</si>
  <si>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</si>
  <si>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</si>
  <si>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</si>
  <si>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</si>
  <si>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</si>
  <si>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</si>
  <si>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</si>
  <si>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</si>
  <si>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</si>
  <si>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</si>
  <si>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</si>
  <si>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</si>
  <si>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</si>
  <si>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</si>
  <si>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</si>
  <si>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</si>
  <si>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</si>
  <si>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</si>
  <si>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</si>
  <si>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</si>
  <si>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</si>
  <si>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</si>
  <si>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</si>
  <si>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</si>
  <si>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</si>
  <si>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</si>
  <si>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</si>
  <si>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</si>
  <si>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</si>
  <si>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</si>
  <si>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</si>
  <si>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</si>
  <si>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</si>
  <si>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</si>
  <si>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</si>
  <si>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</si>
  <si>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</si>
  <si>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</si>
  <si>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</si>
  <si>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</si>
  <si>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</si>
  <si>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</si>
  <si>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</si>
  <si>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</si>
  <si>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</si>
  <si>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</si>
  <si>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</si>
  <si>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</si>
  <si>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</si>
  <si>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</si>
  <si>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</si>
  <si>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</si>
  <si>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</si>
  <si>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</si>
  <si>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</si>
  <si>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</si>
  <si>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</si>
  <si>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</si>
  <si>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</si>
  <si>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</si>
  <si>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</si>
  <si>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</si>
  <si>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</si>
  <si>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</si>
  <si>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</si>
  <si>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</si>
  <si>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</si>
  <si>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</si>
  <si>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</si>
  <si>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</si>
  <si>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</si>
  <si>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</si>
  <si>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</si>
  <si>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</si>
  <si>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</si>
  <si>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</si>
  <si>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</si>
  <si>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</si>
  <si>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</si>
  <si>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</si>
  <si>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</si>
  <si>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</si>
  <si>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</si>
  <si>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</si>
  <si>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</si>
  <si>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</si>
  <si>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</si>
  <si>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</si>
  <si>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</si>
  <si>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</si>
  <si>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</si>
  <si>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</si>
  <si>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</si>
  <si>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</si>
  <si>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</si>
  <si>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</si>
  <si>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</si>
  <si>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</si>
  <si>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</si>
  <si>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</si>
  <si>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</si>
  <si>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</si>
  <si>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</si>
  <si>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</si>
  <si>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</si>
  <si>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</si>
  <si>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</si>
  <si>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</si>
  <si>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</si>
  <si>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</si>
  <si>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</si>
  <si>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</si>
  <si>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</si>
  <si>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</si>
  <si>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</si>
  <si>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</si>
  <si>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</si>
  <si>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</si>
  <si>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</si>
  <si>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</si>
  <si>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</si>
  <si>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</si>
  <si>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</si>
  <si>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</si>
  <si>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</si>
  <si>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</si>
  <si>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</si>
  <si>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</si>
  <si>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</si>
  <si>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</si>
  <si>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</si>
  <si>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</si>
  <si>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</si>
  <si>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</si>
  <si>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</si>
  <si>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</si>
  <si>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</si>
  <si>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</si>
  <si>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</si>
  <si>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</si>
  <si>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</si>
  <si>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</si>
  <si>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</si>
  <si>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</si>
  <si>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</si>
  <si>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</si>
  <si>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</si>
  <si>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</si>
  <si>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</si>
  <si>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</si>
  <si>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</si>
  <si>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</si>
  <si>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</si>
  <si>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</si>
  <si>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</si>
  <si>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</si>
  <si>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</si>
  <si>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</si>
  <si>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</si>
  <si>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</si>
  <si>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</si>
  <si>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</si>
  <si>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</si>
  <si>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</si>
  <si>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</si>
  <si>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</si>
  <si>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</si>
  <si>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</si>
  <si>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</si>
  <si>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</si>
  <si>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</si>
  <si>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</si>
  <si>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</si>
  <si>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</si>
  <si>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</si>
  <si>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</si>
  <si>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</si>
  <si>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</si>
  <si>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</si>
  <si>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</si>
  <si>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</si>
  <si>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</si>
  <si>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</si>
  <si>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</si>
  <si>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</si>
  <si>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</si>
  <si>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</si>
  <si>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</si>
  <si>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</si>
  <si>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</si>
  <si>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</si>
  <si>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</si>
  <si>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</si>
  <si>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</si>
  <si>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</si>
  <si>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</si>
  <si>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</si>
  <si>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</si>
  <si>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</si>
  <si>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</si>
  <si>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</si>
  <si>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</si>
  <si>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</si>
  <si>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</si>
  <si>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</si>
  <si>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</si>
  <si>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</si>
  <si>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</si>
  <si>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</si>
  <si>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</si>
  <si>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</si>
  <si>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</si>
  <si>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</si>
  <si>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</si>
  <si>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</si>
  <si>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</si>
  <si>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</si>
  <si>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</si>
  <si>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</si>
  <si>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</si>
  <si>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</si>
  <si>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</si>
  <si>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</si>
  <si>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</si>
  <si>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</si>
  <si>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</si>
  <si>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</si>
  <si>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</si>
  <si>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</si>
  <si>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</si>
  <si>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</si>
  <si>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</si>
  <si>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</si>
  <si>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</si>
  <si>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</si>
  <si>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</si>
  <si>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</si>
  <si>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</si>
  <si>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</si>
  <si>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</si>
  <si>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</si>
  <si>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</si>
  <si>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</si>
  <si>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</si>
  <si>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</si>
  <si>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</si>
  <si>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</si>
  <si>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</si>
  <si>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</si>
  <si>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</si>
  <si>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</si>
  <si>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</si>
  <si>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</si>
  <si>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</si>
  <si>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</si>
  <si>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</si>
  <si>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</si>
  <si>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</si>
  <si>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</si>
  <si>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</si>
  <si>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</si>
  <si>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</si>
  <si>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</si>
  <si>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</si>
  <si>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</si>
  <si>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</si>
  <si>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</si>
  <si>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</si>
  <si>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</si>
  <si>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</si>
  <si>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</si>
  <si>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</si>
  <si>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</si>
  <si>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</si>
  <si>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</si>
  <si>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</si>
  <si>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</si>
  <si>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</si>
  <si>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</si>
  <si>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</si>
  <si>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</si>
  <si>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</si>
  <si>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</si>
  <si>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</si>
  <si>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</si>
  <si>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</si>
  <si>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</si>
  <si>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</si>
  <si>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</si>
  <si>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</si>
  <si>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</si>
  <si>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</si>
  <si>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</si>
  <si>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</si>
  <si>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</si>
  <si>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</si>
  <si>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</si>
  <si>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</si>
  <si>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</si>
  <si>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</si>
  <si>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</si>
  <si>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</si>
  <si>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</si>
  <si>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</si>
  <si>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</si>
  <si>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</si>
  <si>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</si>
  <si>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</si>
  <si>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</si>
  <si>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</si>
  <si>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</si>
  <si>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</si>
  <si>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</si>
  <si>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</si>
  <si>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</si>
  <si>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</si>
  <si>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</si>
  <si>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</si>
  <si>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</si>
  <si>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</si>
  <si>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</si>
  <si>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</si>
  <si>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</si>
  <si>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</si>
  <si>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</si>
  <si>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</si>
  <si>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</si>
  <si>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</si>
  <si>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</si>
  <si>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</si>
  <si>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</si>
  <si>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</si>
  <si>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</si>
  <si>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</si>
  <si>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</si>
  <si>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</si>
  <si>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</si>
  <si>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</si>
  <si>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</si>
  <si>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</si>
  <si>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</si>
  <si>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</si>
  <si>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</si>
  <si>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</si>
  <si>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</si>
  <si>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</si>
  <si>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</si>
  <si>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</si>
  <si>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</si>
  <si>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</si>
  <si>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</si>
  <si>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</si>
  <si>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</si>
  <si>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</si>
  <si>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</si>
  <si>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</si>
  <si>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</si>
  <si>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</si>
  <si>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</si>
  <si>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</si>
  <si>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</si>
  <si>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</si>
  <si>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</si>
  <si>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</si>
  <si>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</si>
  <si>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</si>
  <si>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</si>
  <si>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</si>
  <si>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</si>
  <si>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</si>
  <si>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</si>
  <si>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</si>
  <si>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</si>
  <si>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</si>
  <si>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</si>
  <si>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</si>
  <si>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</si>
  <si>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</si>
  <si>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</si>
  <si>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</si>
  <si>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</si>
  <si>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</si>
  <si>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</si>
  <si>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</si>
  <si>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</si>
  <si>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</si>
  <si>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</si>
  <si>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</si>
  <si>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</si>
  <si>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</si>
  <si>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</si>
  <si>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</si>
  <si>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</si>
  <si>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</si>
  <si>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</si>
  <si>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</si>
  <si>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</si>
  <si>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</si>
  <si>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</si>
  <si>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</si>
  <si>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</si>
  <si>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</si>
  <si>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</si>
  <si>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</si>
  <si>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</si>
  <si>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</si>
  <si>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</si>
  <si>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</si>
  <si>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</si>
  <si>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</si>
  <si>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</si>
  <si>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</si>
  <si>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</si>
  <si>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</si>
  <si>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</si>
  <si>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</si>
  <si>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</si>
  <si>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</si>
  <si>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</si>
  <si>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</si>
  <si>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</si>
  <si>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</si>
  <si>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</si>
  <si>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</si>
  <si>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</si>
  <si>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</si>
  <si>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</si>
  <si>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</si>
  <si>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</si>
  <si>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</si>
  <si>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</si>
  <si>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</si>
  <si>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</si>
  <si>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</si>
  <si>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</si>
  <si>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</si>
  <si>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</si>
  <si>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</si>
  <si>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</si>
  <si>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</si>
  <si>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</si>
  <si>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</si>
  <si>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</si>
  <si>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</si>
  <si>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</si>
  <si>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</si>
  <si>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</si>
  <si>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</si>
  <si>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</si>
  <si>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</si>
  <si>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</si>
  <si>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</si>
  <si>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</si>
  <si>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</si>
  <si>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</si>
  <si>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</si>
  <si>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</si>
  <si>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</si>
  <si>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</si>
  <si>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</si>
  <si>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</si>
  <si>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</si>
  <si>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</si>
  <si>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</si>
  <si>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</si>
  <si>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</si>
  <si>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</si>
  <si>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</si>
  <si>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</si>
  <si>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</si>
  <si>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</si>
  <si>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</si>
  <si>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</si>
  <si>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</si>
  <si>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</si>
  <si>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</si>
  <si>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</si>
  <si>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</si>
  <si>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</si>
  <si>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</si>
  <si>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</si>
  <si>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</si>
  <si>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</si>
  <si>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</si>
  <si>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</si>
  <si>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</si>
  <si>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</si>
  <si>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</si>
  <si>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</si>
  <si>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</si>
  <si>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</si>
  <si>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</si>
  <si>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</si>
  <si>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</si>
  <si>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</si>
  <si>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</si>
  <si>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</si>
  <si>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</si>
  <si>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</si>
  <si>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</si>
  <si>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</si>
  <si>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</si>
  <si>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</si>
  <si>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</si>
  <si>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</si>
  <si>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</si>
  <si>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</si>
  <si>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</si>
  <si>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</si>
  <si>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</si>
  <si>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</si>
  <si>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</si>
  <si>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</si>
  <si>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</si>
  <si>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</si>
  <si>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</si>
  <si>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</si>
  <si>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</si>
  <si>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</si>
  <si>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</si>
  <si>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</si>
  <si>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</si>
  <si>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</si>
  <si>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</si>
  <si>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</si>
  <si>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</si>
  <si>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</si>
  <si>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</si>
  <si>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</si>
  <si>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</si>
  <si>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</si>
  <si>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</si>
  <si>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</si>
  <si>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</si>
  <si>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</si>
  <si>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</si>
  <si>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</si>
  <si>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</si>
  <si>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</si>
  <si>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</si>
  <si>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</si>
  <si>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</si>
  <si>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</si>
  <si>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</si>
  <si>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</si>
  <si>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</si>
  <si>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</si>
  <si>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</si>
  <si>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</si>
  <si>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</si>
  <si>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</si>
  <si>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</si>
  <si>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</si>
  <si>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</si>
  <si>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</si>
  <si>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</si>
  <si>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</si>
  <si>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</si>
  <si>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</si>
  <si>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</si>
  <si>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</si>
  <si>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</si>
  <si>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</si>
  <si>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</si>
  <si>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</si>
  <si>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</si>
  <si>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</si>
  <si>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</si>
  <si>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</si>
  <si>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</si>
  <si>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</si>
  <si>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</si>
  <si>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</si>
  <si>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</si>
  <si>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</si>
  <si>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</si>
  <si>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</si>
  <si>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</si>
  <si>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</si>
  <si>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</si>
  <si>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</si>
  <si>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</si>
  <si>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</si>
  <si>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</si>
  <si>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</si>
  <si>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</si>
  <si>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</si>
  <si>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</si>
  <si>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</si>
  <si>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</si>
  <si>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</si>
  <si>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</si>
  <si>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</si>
  <si>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</si>
  <si>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</si>
  <si>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</si>
  <si>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</si>
  <si>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</si>
  <si>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</si>
  <si>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</si>
  <si>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</si>
  <si>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</si>
  <si>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</si>
  <si>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</si>
  <si>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</si>
  <si>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</si>
  <si>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</si>
  <si>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</si>
  <si>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</si>
  <si>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</si>
  <si>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</si>
  <si>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</si>
  <si>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</si>
  <si>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</si>
  <si>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</si>
  <si>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</si>
  <si>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</si>
  <si>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</si>
  <si>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</si>
  <si>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</si>
  <si>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</si>
  <si>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</si>
  <si>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</si>
  <si>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</si>
  <si>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</si>
  <si>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</si>
  <si>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</si>
  <si>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</si>
  <si>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</si>
  <si>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</si>
  <si>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</si>
  <si>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</si>
  <si>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</si>
  <si>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</si>
  <si>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</si>
  <si>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</si>
  <si>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</si>
  <si>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</si>
  <si>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</si>
  <si>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</si>
  <si>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</si>
  <si>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</si>
  <si>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</si>
  <si>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</si>
  <si>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</si>
  <si>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</si>
  <si>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</si>
  <si>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</si>
  <si>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</si>
  <si>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</si>
  <si>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</si>
  <si>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</si>
  <si>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</si>
  <si>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</si>
  <si>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</si>
  <si>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</si>
  <si>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</si>
  <si>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</si>
  <si>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</si>
  <si>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</si>
  <si>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</si>
  <si>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</si>
  <si>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</si>
  <si>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</si>
  <si>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</si>
  <si>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</si>
  <si>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</si>
  <si>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</si>
  <si>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</si>
  <si>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</si>
  <si>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</si>
  <si>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</si>
  <si>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</si>
  <si>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</si>
  <si>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</si>
  <si>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</si>
  <si>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</si>
  <si>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</si>
  <si>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</si>
  <si>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</si>
  <si>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</si>
  <si>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</si>
  <si>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</si>
  <si>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</si>
  <si>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</si>
  <si>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</si>
  <si>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</si>
  <si>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</si>
  <si>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</si>
  <si>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</si>
  <si>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</si>
  <si>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</si>
  <si>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</si>
  <si>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</si>
  <si>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</si>
  <si>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</si>
  <si>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</si>
  <si>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</si>
  <si>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</si>
  <si>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</si>
  <si>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</si>
  <si>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</si>
  <si>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</si>
  <si>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</si>
  <si>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</si>
  <si>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</si>
  <si>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</si>
  <si>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</si>
  <si>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</si>
  <si>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</si>
  <si>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</si>
  <si>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</si>
  <si>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</si>
  <si>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</si>
  <si>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</si>
  <si>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</si>
  <si>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</si>
  <si>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</si>
  <si>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</si>
  <si>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</si>
  <si>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</si>
  <si>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</si>
  <si>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</si>
  <si>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</si>
  <si>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</si>
  <si>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</si>
  <si>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</si>
  <si>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</si>
  <si>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</si>
  <si>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</si>
  <si>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</si>
  <si>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</si>
  <si>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</si>
  <si>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</si>
  <si>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</si>
  <si>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</si>
  <si>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</si>
  <si>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</si>
  <si>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</si>
  <si>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</si>
  <si>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</si>
  <si>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</si>
  <si>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</si>
  <si>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</si>
  <si>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</si>
  <si>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</si>
  <si>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</si>
  <si>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</si>
  <si>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</si>
  <si>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</si>
  <si>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</si>
  <si>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</si>
  <si>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</si>
  <si>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</si>
  <si>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</si>
  <si>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</si>
  <si>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</si>
  <si>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</si>
  <si>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</si>
  <si>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</si>
  <si>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</si>
  <si>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</si>
  <si>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</si>
  <si>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</si>
  <si>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</si>
  <si>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</si>
  <si>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</si>
  <si>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</si>
  <si>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</si>
  <si>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</si>
  <si>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</si>
  <si>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</si>
  <si>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</si>
  <si>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</si>
  <si>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</si>
  <si>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</si>
  <si>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</si>
  <si>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</si>
  <si>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</si>
  <si>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</si>
  <si>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</si>
  <si>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</si>
  <si>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</si>
  <si>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</si>
  <si>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</si>
  <si>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</si>
  <si>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</si>
  <si>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</si>
  <si>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</si>
  <si>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</si>
  <si>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</si>
  <si>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</si>
  <si>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</si>
  <si>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</si>
  <si>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</si>
  <si>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</si>
  <si>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</si>
  <si>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</si>
  <si>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</si>
  <si>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</si>
  <si>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</si>
  <si>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</si>
  <si>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</si>
  <si>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</si>
  <si>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</si>
  <si>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</si>
  <si>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</si>
  <si>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</si>
  <si>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</si>
  <si>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</si>
  <si>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</si>
  <si>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</si>
  <si>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</si>
  <si>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</si>
  <si>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</si>
  <si>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</si>
  <si>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</si>
  <si>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</si>
  <si>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</si>
  <si>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</si>
  <si>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</si>
  <si>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</si>
  <si>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</si>
  <si>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</si>
  <si>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</si>
  <si>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</si>
  <si>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</si>
  <si>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</si>
  <si>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</si>
  <si>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</si>
  <si>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</si>
  <si>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</si>
  <si>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</si>
  <si>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</si>
  <si>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</si>
  <si>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</si>
  <si>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</si>
  <si>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</si>
  <si>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</si>
  <si>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</si>
  <si>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</si>
  <si>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</si>
  <si>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</si>
  <si>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</si>
  <si>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</si>
  <si>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</si>
  <si>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</si>
  <si>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</si>
  <si>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</si>
  <si>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</si>
  <si>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</si>
  <si>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</si>
  <si>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</si>
  <si>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</si>
  <si>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</si>
  <si>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</si>
  <si>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</si>
  <si>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</si>
  <si>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</si>
  <si>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</si>
  <si>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</si>
  <si>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</si>
  <si>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</si>
  <si>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</si>
  <si>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</si>
  <si>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</si>
  <si>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</si>
  <si>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</si>
  <si>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</si>
  <si>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</si>
  <si>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</si>
  <si>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</si>
  <si>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</si>
  <si>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</si>
  <si>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</si>
  <si>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</si>
  <si>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</si>
  <si>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</si>
  <si>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</si>
  <si>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</si>
  <si>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</si>
  <si>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</si>
  <si>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</si>
  <si>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</si>
  <si>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</si>
  <si>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</si>
  <si>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</si>
  <si>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</si>
  <si>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</si>
  <si>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</si>
  <si>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</si>
  <si>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</si>
  <si>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</si>
  <si>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</si>
  <si>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</si>
  <si>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</si>
  <si>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</si>
  <si>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</si>
  <si>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</si>
  <si>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</si>
  <si>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</si>
  <si>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</si>
  <si>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</si>
  <si>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</si>
  <si>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</si>
  <si>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</si>
  <si>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</si>
  <si>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</si>
  <si>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</si>
  <si>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</si>
  <si>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</si>
  <si>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</si>
  <si>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</si>
  <si>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</si>
  <si>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</si>
  <si>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</si>
  <si>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</si>
  <si>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</si>
  <si>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</si>
  <si>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</si>
  <si>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</si>
  <si>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</si>
  <si>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</si>
  <si>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</si>
  <si>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</si>
  <si>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</si>
  <si>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</si>
  <si>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</si>
  <si>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</si>
  <si>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</si>
  <si>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</si>
  <si>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</si>
  <si>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</si>
  <si>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</si>
  <si>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</si>
  <si>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</si>
  <si>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</si>
  <si>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</si>
  <si>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</si>
  <si>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</si>
  <si>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</si>
  <si>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</si>
  <si>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</si>
  <si>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</si>
  <si>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</si>
  <si>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</si>
  <si>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</si>
  <si>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</si>
  <si>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</si>
  <si>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</si>
  <si>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</si>
  <si>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</si>
  <si>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</si>
  <si>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</si>
  <si>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</si>
  <si>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</si>
  <si>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</si>
  <si>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</si>
  <si>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</si>
  <si>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</si>
  <si>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</si>
  <si>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</si>
  <si>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</si>
  <si>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</si>
  <si>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</si>
  <si>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</si>
  <si>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</si>
  <si>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</si>
  <si>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</si>
  <si>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</si>
  <si>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</si>
  <si>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</si>
  <si>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</si>
  <si>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</si>
  <si>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</si>
  <si>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</si>
  <si>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</si>
  <si>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</si>
  <si>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</si>
  <si>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</si>
  <si>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</si>
  <si>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</si>
  <si>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</si>
  <si>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</si>
  <si>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</si>
  <si>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</si>
  <si>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</si>
  <si>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</si>
  <si>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</si>
  <si>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</si>
  <si>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</si>
  <si>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</si>
  <si>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</si>
  <si>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</si>
  <si>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</si>
  <si>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</si>
  <si>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</si>
  <si>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</si>
  <si>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</si>
  <si>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</si>
  <si>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</si>
  <si>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</si>
  <si>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</si>
  <si>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</si>
  <si>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</si>
  <si>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</si>
  <si>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</si>
  <si>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</si>
  <si>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</si>
  <si>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</si>
  <si>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</si>
  <si>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</si>
  <si>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</si>
  <si>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</si>
  <si>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</si>
  <si>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</si>
  <si>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</si>
  <si>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</si>
  <si>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</si>
  <si>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</si>
  <si>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</si>
  <si>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</si>
  <si>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</si>
  <si>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</si>
  <si>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</si>
  <si>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</si>
  <si>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</si>
  <si>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</si>
  <si>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</si>
  <si>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</si>
  <si>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</si>
  <si>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</si>
  <si>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</si>
  <si>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</si>
  <si>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</si>
  <si>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</si>
  <si>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</si>
  <si>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</si>
  <si>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</si>
  <si>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</si>
  <si>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</si>
  <si>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</si>
  <si>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</si>
  <si>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</si>
  <si>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</si>
  <si>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</si>
  <si>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</si>
  <si>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</si>
  <si>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</si>
  <si>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</si>
  <si>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</si>
  <si>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</si>
  <si>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</si>
  <si>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</si>
  <si>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</si>
  <si>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</si>
  <si>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</si>
  <si>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</si>
  <si>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</si>
  <si>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</si>
  <si>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</si>
  <si>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</si>
  <si>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</si>
  <si>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</si>
  <si>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</si>
  <si>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</si>
  <si>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</si>
  <si>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</si>
  <si>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</si>
  <si>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</si>
  <si>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</si>
  <si>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</si>
  <si>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</si>
  <si>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</si>
  <si>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</si>
  <si>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</si>
  <si>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</si>
  <si>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</si>
  <si>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</si>
  <si>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</si>
  <si>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</si>
  <si>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</si>
  <si>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</si>
  <si>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</si>
  <si>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</si>
  <si>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</si>
  <si>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</si>
  <si>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</si>
  <si>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</si>
  <si>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</si>
  <si>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</si>
  <si>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</si>
  <si>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</si>
  <si>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</si>
  <si>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</si>
  <si>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</si>
  <si>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</si>
  <si>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</si>
  <si>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</si>
  <si>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</si>
  <si>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</si>
  <si>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</si>
  <si>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</si>
  <si>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</si>
  <si>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</si>
  <si>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</si>
  <si>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</si>
  <si>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</si>
  <si>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</si>
  <si>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</si>
  <si>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</si>
  <si>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</si>
  <si>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</si>
  <si>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</si>
  <si>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</si>
  <si>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</si>
  <si>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</si>
  <si>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</si>
  <si>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</si>
  <si>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</si>
  <si>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</si>
  <si>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</si>
  <si>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</si>
  <si>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</si>
  <si>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</si>
  <si>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</si>
  <si>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</si>
  <si>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</si>
  <si>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</si>
  <si>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</si>
  <si>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</si>
  <si>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</si>
  <si>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</si>
  <si>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</si>
  <si>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</si>
  <si>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</si>
  <si>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</si>
  <si>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</si>
  <si>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</si>
  <si>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</si>
  <si>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</si>
  <si>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</si>
  <si>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</si>
  <si>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</si>
  <si>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</si>
  <si>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</si>
  <si>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</si>
  <si>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</si>
  <si>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</si>
  <si>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</si>
  <si>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</si>
  <si>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</si>
  <si>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</si>
  <si>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</si>
  <si>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</si>
  <si>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</si>
  <si>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</si>
  <si>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</si>
  <si>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</si>
  <si>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</si>
  <si>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</si>
  <si>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</si>
  <si>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</si>
  <si>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</si>
  <si>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</si>
  <si>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</si>
  <si>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</si>
  <si>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</si>
  <si>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</si>
  <si>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</si>
  <si>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</si>
  <si>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</si>
  <si>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</si>
  <si>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</si>
  <si>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</si>
  <si>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</si>
  <si>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</si>
  <si>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</si>
  <si>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</si>
  <si>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</si>
  <si>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</si>
  <si>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</si>
  <si>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</si>
  <si>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</si>
  <si>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</si>
  <si>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</si>
  <si>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</si>
  <si>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</si>
  <si>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</si>
  <si>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</si>
  <si>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</si>
  <si>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</si>
  <si>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</si>
  <si>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</si>
  <si>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</si>
  <si>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</si>
  <si>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</si>
  <si>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</si>
  <si>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</si>
  <si>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</si>
  <si>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</si>
  <si>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</si>
  <si>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</si>
  <si>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</si>
  <si>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</si>
  <si>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</si>
  <si>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</si>
  <si>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</si>
  <si>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</si>
  <si>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</si>
  <si>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</si>
  <si>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</si>
  <si>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</si>
  <si>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</si>
  <si>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</si>
  <si>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</si>
  <si>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</si>
  <si>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</si>
  <si>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</si>
  <si>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</si>
  <si>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</si>
  <si>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</si>
  <si>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</si>
  <si>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</si>
  <si>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</si>
  <si>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</si>
  <si>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</si>
  <si>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</si>
  <si>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</si>
  <si>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</si>
  <si>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</si>
  <si>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</si>
  <si>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</si>
  <si>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</si>
  <si>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</si>
  <si>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</si>
  <si>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</si>
  <si>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</si>
  <si>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</si>
  <si>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</si>
  <si>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</si>
  <si>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</si>
  <si>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</si>
  <si>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</si>
  <si>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</si>
  <si>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</si>
  <si>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</si>
  <si>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</si>
  <si>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</si>
  <si>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</si>
  <si>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</si>
  <si>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</si>
  <si>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</si>
  <si>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</si>
  <si>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</si>
  <si>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</si>
  <si>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</si>
  <si>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</si>
  <si>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</si>
  <si>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</si>
  <si>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</si>
  <si>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</si>
  <si>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</si>
  <si>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</si>
  <si>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</si>
  <si>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</si>
  <si>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</si>
  <si>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</si>
  <si>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</si>
  <si>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</si>
  <si>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</si>
  <si>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</si>
  <si>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</si>
  <si>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</si>
  <si>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</si>
  <si>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</si>
  <si>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</si>
  <si>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</si>
  <si>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</si>
  <si>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</si>
  <si>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</si>
  <si>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</si>
  <si>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</si>
  <si>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</si>
  <si>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</si>
  <si>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</si>
  <si>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</si>
  <si>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</si>
  <si>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</si>
  <si>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</si>
  <si>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</si>
  <si>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</si>
  <si>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</si>
  <si>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</si>
  <si>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</si>
  <si>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</si>
  <si>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</si>
  <si>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</si>
  <si>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</si>
  <si>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</si>
  <si>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</si>
  <si>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</si>
  <si>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</si>
  <si>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</si>
  <si>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</si>
  <si>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</si>
  <si>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</si>
  <si>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</si>
  <si>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</si>
  <si>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</si>
  <si>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</si>
  <si>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</si>
  <si>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</si>
  <si>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</si>
  <si>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</si>
  <si>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</si>
  <si>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</si>
  <si>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</si>
  <si>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</si>
  <si>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</si>
  <si>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</si>
  <si>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</si>
  <si>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</si>
  <si>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</si>
  <si>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</si>
  <si>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</si>
  <si>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</si>
  <si>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</si>
  <si>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</si>
  <si>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</si>
  <si>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</si>
  <si>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</si>
  <si>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</si>
  <si>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</si>
  <si>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</si>
  <si>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</si>
  <si>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</si>
  <si>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</si>
  <si>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</si>
  <si>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</si>
  <si>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</si>
  <si>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</si>
  <si>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</si>
  <si>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</si>
  <si>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</si>
  <si>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</si>
  <si>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</si>
  <si>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</si>
  <si>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</si>
  <si>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</si>
  <si>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</si>
  <si>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</si>
  <si>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</si>
  <si>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</si>
  <si>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</si>
  <si>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</si>
  <si>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</si>
  <si>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</si>
  <si>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</si>
  <si>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</si>
  <si>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</si>
  <si>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</si>
  <si>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</si>
  <si>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</si>
  <si>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</si>
  <si>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</si>
  <si>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</si>
  <si>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</si>
  <si>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</si>
  <si>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</si>
  <si>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</si>
  <si>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</si>
  <si>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</si>
  <si>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</si>
  <si>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</si>
  <si>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</si>
  <si>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</si>
  <si>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</si>
  <si>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</si>
  <si>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</si>
  <si>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</si>
  <si>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</si>
  <si>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</si>
  <si>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</si>
  <si>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</si>
  <si>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</si>
  <si>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</si>
  <si>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</si>
  <si>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</si>
  <si>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</si>
  <si>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</si>
  <si>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</si>
  <si>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</si>
  <si>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</si>
  <si>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</si>
  <si>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</si>
  <si>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</si>
  <si>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</si>
  <si>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</si>
  <si>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</si>
  <si>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</si>
  <si>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</si>
  <si>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</si>
  <si>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</si>
  <si>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</si>
  <si>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</si>
  <si>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</si>
  <si>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</si>
  <si>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</si>
  <si>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</si>
  <si>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</si>
  <si>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</si>
  <si>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</si>
  <si>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</si>
  <si>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</si>
  <si>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</si>
  <si>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</si>
  <si>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</si>
  <si>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</si>
  <si>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</si>
  <si>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</si>
  <si>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</si>
  <si>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</si>
  <si>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</si>
  <si>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</si>
  <si>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</si>
  <si>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</si>
  <si>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</si>
  <si>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</si>
  <si>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</si>
  <si>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</si>
  <si>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</si>
  <si>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</si>
  <si>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</si>
  <si>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</si>
  <si>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</si>
  <si>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</si>
  <si>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</si>
  <si>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</si>
  <si>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</si>
  <si>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</si>
  <si>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</si>
  <si>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</si>
  <si>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</si>
  <si>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</si>
  <si>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</si>
  <si>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</si>
  <si>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</si>
  <si>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</si>
  <si>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</si>
  <si>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</si>
  <si>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</si>
  <si>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</si>
  <si>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</si>
  <si>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</si>
  <si>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</si>
  <si>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</si>
  <si>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</si>
  <si>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</si>
  <si>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</si>
  <si>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</si>
  <si>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</si>
  <si>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</si>
  <si>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</si>
  <si>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</si>
  <si>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</si>
  <si>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</si>
  <si>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</si>
  <si>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</si>
  <si>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</si>
  <si>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</si>
  <si>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</si>
  <si>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</si>
  <si>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</si>
  <si>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</si>
  <si>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</si>
  <si>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</si>
  <si>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</si>
  <si>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</si>
  <si>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</si>
  <si>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</si>
  <si>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</si>
  <si>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</si>
  <si>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</si>
  <si>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</si>
  <si>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</si>
  <si>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</si>
  <si>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</si>
  <si>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</si>
  <si>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</si>
  <si>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</si>
  <si>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</si>
  <si>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</si>
  <si>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</si>
  <si>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</si>
  <si>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</si>
  <si>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</si>
  <si>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</si>
  <si>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</si>
  <si>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</si>
  <si>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</si>
  <si>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</si>
  <si>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</si>
  <si>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</si>
  <si>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</si>
  <si>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</si>
  <si>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</si>
  <si>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</si>
  <si>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</si>
  <si>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</si>
  <si>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</si>
  <si>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</si>
  <si>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</si>
  <si>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</si>
  <si>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</si>
  <si>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</si>
  <si>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</si>
  <si>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</si>
  <si>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</si>
  <si>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</si>
  <si>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</si>
  <si>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</si>
  <si>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</si>
  <si>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</si>
  <si>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</si>
  <si>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</si>
  <si>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</si>
  <si>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</si>
  <si>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</si>
  <si>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</si>
  <si>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</si>
  <si>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</si>
  <si>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</si>
  <si>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</si>
  <si>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</si>
  <si>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</si>
  <si>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</si>
  <si>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</si>
  <si>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</si>
  <si>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</si>
  <si>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</si>
  <si>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</si>
  <si>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</si>
  <si>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</si>
  <si>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</si>
  <si>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</si>
  <si>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</si>
  <si>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</si>
  <si>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</si>
  <si>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</si>
  <si>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</si>
  <si>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</si>
  <si>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</si>
  <si>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</si>
  <si>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</si>
  <si>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</si>
  <si>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</si>
  <si>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</si>
  <si>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</si>
  <si>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</si>
  <si>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</si>
  <si>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</si>
  <si>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</si>
  <si>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</si>
  <si>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</si>
  <si>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</si>
  <si>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</si>
  <si>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</si>
  <si>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</si>
  <si>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</si>
  <si>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</si>
  <si>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</si>
  <si>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</si>
  <si>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</si>
  <si>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</si>
  <si>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</si>
  <si>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</si>
  <si>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</si>
  <si>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</si>
  <si>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</si>
  <si>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</si>
  <si>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</si>
  <si>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</si>
  <si>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</si>
  <si>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</si>
  <si>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</si>
  <si>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</si>
  <si>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</si>
  <si>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</si>
  <si>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</si>
  <si>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</si>
  <si>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</si>
  <si>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</si>
  <si>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</si>
  <si>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</si>
  <si>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</si>
  <si>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</si>
  <si>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</si>
  <si>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</si>
  <si>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</si>
  <si>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</si>
  <si>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</si>
  <si>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</si>
  <si>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</si>
  <si>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</si>
  <si>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</si>
  <si>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</si>
  <si>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</si>
  <si>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</si>
  <si>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</si>
  <si>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</si>
  <si>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</si>
  <si>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</si>
  <si>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</si>
  <si>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</si>
  <si>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</si>
  <si>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</si>
  <si>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</si>
  <si>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</si>
  <si>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</si>
  <si>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</si>
  <si>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</si>
  <si>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</si>
  <si>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</si>
  <si>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</si>
  <si>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</si>
  <si>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</si>
  <si>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</si>
  <si>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</si>
  <si>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</si>
  <si>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</si>
  <si>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</si>
  <si>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</si>
  <si>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</si>
  <si>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</si>
  <si>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</si>
  <si>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</si>
  <si>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</si>
  <si>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</si>
  <si>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</si>
  <si>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</si>
  <si>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</si>
  <si>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</si>
  <si>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</si>
  <si>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</si>
  <si>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</si>
  <si>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</si>
  <si>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</si>
  <si>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</si>
  <si>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</si>
  <si>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</si>
  <si>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</si>
  <si>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</si>
  <si>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</si>
  <si>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</si>
  <si>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</si>
  <si>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</si>
  <si>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</si>
  <si>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</si>
  <si>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</si>
  <si>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</si>
  <si>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</si>
  <si>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</si>
  <si>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</si>
  <si>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</si>
  <si>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</si>
  <si>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</si>
  <si>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</si>
  <si>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</si>
  <si>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</si>
  <si>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</si>
  <si>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</si>
  <si>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</si>
  <si>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</si>
  <si>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</si>
  <si>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</si>
  <si>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</si>
  <si>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</si>
  <si>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</si>
  <si>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</si>
  <si>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</si>
  <si>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</si>
  <si>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</si>
  <si>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</si>
  <si>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</si>
  <si>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</si>
  <si>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</si>
  <si>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</si>
  <si>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</si>
  <si>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</si>
  <si>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</si>
  <si>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</si>
  <si>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</si>
  <si>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</si>
  <si>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</si>
  <si>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</si>
  <si>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</si>
  <si>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</si>
  <si>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</si>
  <si>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</si>
  <si>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</si>
  <si>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</si>
  <si>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</si>
  <si>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</si>
  <si>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</si>
  <si>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</si>
  <si>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</si>
  <si>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</si>
  <si>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</si>
  <si>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</si>
  <si>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</si>
  <si>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</si>
  <si>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</si>
  <si>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</si>
  <si>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</si>
  <si>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</si>
  <si>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</si>
  <si>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</si>
  <si>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</si>
  <si>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</si>
  <si>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</si>
  <si>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</si>
  <si>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</si>
  <si>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</si>
  <si>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</si>
  <si>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</si>
  <si>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</si>
  <si>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</si>
  <si>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</si>
  <si>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</si>
  <si>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</si>
  <si>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</si>
  <si>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</si>
  <si>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</si>
  <si>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</si>
  <si>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</si>
  <si>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</si>
  <si>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</si>
  <si>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</si>
  <si>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</si>
  <si>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</si>
  <si>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</si>
  <si>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</si>
  <si>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</si>
  <si>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</si>
  <si>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</si>
  <si>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</si>
  <si>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</si>
  <si>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</si>
  <si>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</si>
  <si>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</si>
  <si>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</si>
  <si>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</si>
  <si>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</si>
  <si>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</si>
  <si>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</si>
  <si>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</si>
  <si>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</si>
  <si>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</si>
  <si>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</si>
  <si>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</si>
  <si>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</si>
  <si>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</si>
  <si>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</si>
  <si>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</si>
  <si>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</si>
  <si>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</si>
  <si>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</si>
  <si>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</si>
  <si>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</si>
  <si>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</si>
  <si>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</si>
  <si>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</si>
  <si>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</si>
  <si>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</si>
  <si>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</si>
  <si>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</si>
  <si>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</si>
  <si>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</si>
  <si>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</si>
  <si>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</si>
  <si>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</si>
  <si>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</si>
  <si>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</si>
  <si>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</si>
  <si>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</si>
  <si>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</si>
  <si>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</si>
  <si>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</si>
  <si>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</si>
  <si>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</si>
  <si>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</si>
  <si>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</si>
  <si>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</si>
  <si>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</si>
  <si>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</si>
  <si>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</si>
  <si>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</si>
  <si>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</si>
  <si>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</si>
  <si>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</si>
  <si>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</si>
  <si>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</si>
  <si>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</si>
  <si>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</si>
  <si>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</si>
  <si>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</si>
  <si>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</si>
  <si>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</si>
  <si>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</si>
  <si>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</si>
  <si>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</si>
  <si>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</si>
  <si>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</si>
  <si>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</si>
  <si>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</si>
  <si>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</si>
  <si>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</si>
  <si>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</si>
  <si>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</si>
  <si>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</si>
  <si>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</si>
  <si>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</si>
  <si>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</si>
  <si>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</si>
  <si>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</si>
  <si>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</si>
  <si>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</si>
  <si>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</si>
  <si>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</si>
  <si>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</si>
  <si>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</si>
  <si>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</si>
  <si>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</si>
  <si>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</si>
  <si>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</si>
  <si>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</si>
  <si>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</si>
  <si>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</si>
  <si>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</si>
  <si>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</si>
  <si>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</si>
  <si>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</si>
  <si>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</si>
  <si>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</si>
  <si>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</si>
  <si>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</si>
  <si>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</si>
  <si>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</si>
  <si>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</si>
  <si>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</si>
  <si>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</si>
  <si>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</si>
  <si>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</si>
  <si>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</si>
  <si>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</si>
  <si>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</si>
  <si>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</si>
  <si>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</si>
  <si>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</si>
  <si>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</si>
  <si>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</si>
  <si>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</si>
  <si>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</si>
  <si>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</si>
  <si>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</si>
  <si>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</si>
  <si>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</si>
  <si>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</si>
  <si>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</si>
  <si>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</si>
  <si>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</si>
  <si>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</si>
  <si>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</si>
  <si>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</si>
  <si>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</si>
  <si>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</si>
  <si>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</si>
  <si>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</si>
  <si>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</si>
  <si>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</si>
  <si>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</si>
  <si>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</si>
  <si>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</si>
  <si>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</si>
  <si>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</si>
  <si>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</si>
  <si>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</si>
  <si>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</si>
  <si>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</si>
  <si>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</si>
  <si>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</si>
  <si>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</si>
  <si>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</si>
  <si>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</si>
  <si>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</si>
  <si>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</si>
  <si>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</si>
  <si>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</si>
  <si>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</si>
  <si>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</si>
  <si>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</si>
  <si>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</si>
  <si>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</si>
  <si>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</si>
  <si>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</si>
  <si>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</si>
  <si>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</si>
  <si>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</si>
  <si>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</si>
  <si>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</si>
  <si>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</si>
  <si>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</si>
  <si>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</si>
  <si>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</si>
  <si>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</si>
  <si>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</si>
  <si>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</si>
  <si>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</si>
  <si>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</si>
  <si>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</si>
  <si>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</si>
  <si>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</si>
  <si>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</si>
  <si>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</si>
  <si>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</si>
  <si>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</si>
  <si>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</si>
  <si>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</si>
  <si>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</si>
  <si>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</si>
  <si>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</si>
  <si>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</si>
  <si>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</si>
  <si>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</si>
  <si>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</si>
  <si>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</si>
  <si>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</si>
  <si>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</si>
  <si>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</si>
  <si>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</si>
  <si>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</si>
  <si>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</si>
  <si>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</si>
  <si>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</si>
  <si>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</si>
  <si>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</si>
  <si>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</si>
  <si>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</si>
  <si>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</si>
  <si>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</si>
  <si>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</si>
  <si>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</si>
  <si>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</si>
  <si>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</si>
  <si>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</si>
  <si>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</si>
  <si>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</si>
  <si>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</si>
  <si>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</si>
  <si>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</si>
  <si>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</si>
  <si>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</si>
  <si>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</si>
  <si>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</si>
  <si>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</si>
  <si>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</si>
  <si>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</si>
  <si>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</si>
  <si>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</si>
  <si>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</si>
  <si>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</si>
  <si>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</si>
  <si>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</si>
  <si>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</si>
  <si>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</si>
  <si>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</si>
  <si>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</si>
  <si>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</si>
  <si>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</si>
  <si>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</si>
  <si>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</si>
  <si>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</si>
  <si>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</si>
  <si>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</si>
  <si>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</si>
  <si>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</si>
  <si>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</si>
  <si>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</si>
  <si>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</si>
  <si>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</si>
  <si>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</si>
  <si>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</si>
  <si>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</si>
  <si>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</si>
  <si>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</si>
  <si>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</si>
  <si>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</si>
  <si>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</si>
  <si>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</si>
  <si>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</si>
  <si>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</si>
  <si>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</si>
  <si>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</si>
  <si>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</si>
  <si>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</si>
  <si>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</si>
  <si>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</si>
  <si>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</si>
  <si>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</si>
  <si>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</si>
  <si>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</si>
  <si>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</si>
  <si>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</si>
  <si>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</si>
  <si>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</si>
  <si>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</si>
  <si>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</si>
  <si>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</si>
  <si>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</si>
  <si>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</si>
  <si>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</si>
  <si>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</si>
  <si>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</si>
  <si>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</si>
  <si>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</si>
  <si>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</si>
  <si>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</si>
  <si>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</si>
  <si>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</si>
  <si>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</si>
  <si>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</si>
  <si>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</si>
  <si>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</si>
  <si>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</si>
  <si>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</si>
  <si>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</si>
  <si>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</si>
  <si>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</si>
  <si>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</si>
  <si>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</si>
  <si>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</si>
  <si>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</si>
  <si>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</si>
  <si>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</si>
  <si>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</si>
  <si>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</si>
  <si>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</si>
  <si>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</si>
  <si>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</si>
  <si>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</si>
  <si>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</si>
  <si>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</si>
  <si>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</si>
  <si>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</si>
  <si>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</si>
  <si>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</si>
  <si>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</si>
  <si>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</si>
  <si>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</si>
  <si>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</si>
  <si>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</si>
  <si>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</si>
  <si>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</si>
  <si>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</si>
  <si>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</si>
  <si>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</si>
  <si>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</si>
  <si>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</si>
  <si>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</si>
  <si>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</si>
  <si>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</si>
  <si>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</si>
  <si>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</si>
  <si>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</si>
  <si>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</si>
  <si>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</si>
  <si>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</si>
  <si>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</si>
  <si>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</si>
  <si>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</si>
  <si>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</si>
  <si>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</si>
  <si>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</si>
  <si>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</si>
  <si>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</si>
  <si>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</si>
  <si>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</si>
  <si>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</si>
  <si>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</si>
  <si>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</si>
  <si>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</si>
  <si>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</si>
  <si>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</si>
  <si>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</si>
  <si>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</si>
  <si>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</si>
  <si>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</si>
  <si>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</si>
  <si>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</si>
  <si>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</si>
  <si>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</si>
  <si>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</si>
  <si>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</si>
  <si>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</si>
  <si>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</si>
  <si>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</si>
  <si>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</si>
  <si>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</si>
  <si>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</si>
  <si>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</si>
  <si>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</si>
  <si>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</si>
  <si>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</si>
  <si>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</si>
  <si>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</si>
  <si>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</si>
  <si>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</si>
  <si>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</si>
  <si>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</si>
  <si>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</si>
  <si>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</si>
  <si>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</si>
  <si>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</si>
  <si>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</si>
  <si>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</si>
  <si>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</si>
  <si>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</si>
  <si>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</si>
  <si>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</si>
  <si>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</si>
  <si>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</si>
  <si>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</si>
  <si>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</si>
  <si>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</si>
  <si>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</si>
  <si>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</si>
  <si>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</si>
  <si>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</si>
  <si>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</si>
  <si>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</si>
  <si>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</si>
  <si>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</si>
  <si>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</si>
  <si>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</si>
  <si>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</si>
  <si>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</si>
  <si>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</si>
  <si>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</si>
  <si>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</si>
  <si>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</si>
  <si>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</si>
  <si>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</si>
  <si>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</si>
  <si>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</si>
  <si>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</si>
  <si>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</si>
  <si>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</si>
  <si>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</si>
  <si>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</si>
  <si>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</si>
  <si>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</si>
  <si>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</si>
  <si>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</si>
  <si>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</si>
  <si>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</si>
  <si>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</si>
  <si>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</si>
  <si>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</si>
  <si>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</si>
  <si>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</si>
  <si>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</si>
  <si>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</si>
  <si>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</si>
  <si>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</si>
  <si>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</si>
  <si>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</si>
  <si>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</si>
  <si>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</si>
  <si>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</si>
  <si>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</si>
  <si>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</si>
  <si>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</si>
  <si>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</si>
  <si>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</si>
  <si>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</si>
  <si>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</si>
  <si>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</si>
  <si>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</si>
  <si>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</si>
  <si>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</si>
  <si>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</si>
  <si>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</si>
  <si>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</si>
  <si>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</si>
  <si>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</si>
  <si>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</si>
  <si>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</si>
  <si>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</si>
  <si>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</si>
  <si>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</si>
  <si>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</si>
  <si>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</si>
  <si>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</si>
  <si>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</si>
  <si>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</si>
  <si>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</si>
  <si>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</si>
  <si>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</si>
  <si>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</si>
  <si>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</si>
  <si>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</si>
  <si>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</si>
  <si>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</si>
  <si>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</si>
  <si>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</si>
  <si>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</si>
  <si>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</si>
  <si>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</si>
  <si>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</si>
  <si>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</si>
  <si>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</si>
  <si>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</si>
  <si>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</si>
  <si>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</si>
  <si>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</si>
  <si>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</si>
  <si>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</si>
  <si>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</si>
  <si>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</si>
  <si>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</si>
  <si>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</si>
  <si>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</si>
  <si>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</si>
  <si>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</si>
  <si>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</si>
  <si>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</si>
  <si>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</si>
  <si>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</si>
  <si>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</si>
  <si>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</si>
  <si>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</si>
  <si>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</si>
  <si>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</si>
  <si>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</si>
  <si>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</si>
  <si>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</si>
  <si>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</si>
  <si>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</si>
  <si>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</si>
  <si>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</si>
  <si>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</si>
  <si>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</si>
  <si>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</si>
  <si>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</si>
  <si>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</si>
  <si>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</si>
  <si>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</si>
  <si>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</si>
  <si>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</si>
  <si>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</si>
  <si>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</si>
  <si>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</si>
  <si>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</si>
  <si>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</si>
  <si>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</si>
  <si>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</si>
  <si>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</si>
  <si>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</si>
  <si>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</si>
  <si>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</si>
  <si>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</si>
  <si>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</si>
  <si>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</si>
  <si>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</si>
  <si>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</si>
  <si>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</si>
  <si>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</si>
  <si>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</si>
  <si>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</si>
  <si>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</si>
  <si>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</si>
  <si>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</si>
  <si>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</si>
  <si>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</si>
  <si>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</si>
  <si>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</si>
  <si>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</si>
  <si>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</si>
  <si>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</si>
  <si>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</si>
  <si>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</si>
  <si>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</si>
  <si>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</si>
  <si>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</si>
  <si>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</si>
  <si>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</si>
  <si>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</si>
  <si>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</si>
  <si>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</si>
  <si>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</si>
  <si>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</si>
  <si>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</si>
  <si>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</si>
  <si>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</si>
  <si>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</si>
  <si>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</si>
  <si>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</si>
  <si>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</si>
  <si>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</si>
  <si>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</si>
  <si>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</si>
  <si>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</si>
  <si>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</si>
  <si>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</si>
  <si>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</si>
  <si>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</si>
  <si>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</si>
  <si>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</si>
  <si>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</si>
  <si>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</si>
  <si>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</si>
  <si>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</si>
  <si>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</si>
  <si>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</si>
  <si>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</si>
  <si>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</si>
  <si>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</si>
  <si>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</si>
  <si>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</si>
  <si>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</si>
  <si>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</si>
  <si>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</si>
  <si>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</si>
  <si>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</si>
  <si>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</si>
  <si>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</si>
  <si>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</si>
  <si>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</si>
  <si>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</si>
  <si>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</si>
  <si>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</si>
  <si>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</si>
  <si>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</si>
  <si>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</si>
  <si>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</si>
  <si>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</si>
  <si>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</si>
  <si>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</si>
  <si>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</si>
  <si>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</si>
  <si>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</si>
  <si>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</si>
  <si>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</si>
  <si>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</si>
  <si>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</si>
  <si>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</si>
  <si>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</si>
  <si>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</si>
  <si>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</si>
  <si>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</si>
  <si>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</si>
  <si>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</si>
  <si>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</si>
  <si>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</si>
  <si>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</si>
  <si>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</si>
  <si>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</si>
  <si>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</si>
  <si>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</si>
  <si>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</si>
  <si>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</si>
  <si>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</si>
  <si>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</si>
  <si>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</si>
  <si>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</si>
  <si>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</si>
  <si>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</si>
  <si>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</si>
  <si>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</si>
  <si>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</si>
  <si>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</si>
  <si>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</si>
  <si>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</si>
  <si>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</si>
  <si>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</si>
  <si>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</si>
  <si>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</si>
  <si>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</si>
  <si>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</si>
  <si>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</si>
  <si>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</si>
  <si>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</si>
  <si>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</si>
  <si>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</si>
  <si>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</si>
  <si>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</si>
  <si>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</si>
  <si>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</si>
  <si>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</si>
  <si>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</si>
  <si>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</si>
  <si>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</si>
  <si>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</si>
  <si>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</si>
  <si>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</si>
  <si>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</si>
  <si>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</si>
  <si>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</si>
  <si>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</si>
  <si>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</si>
  <si>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</si>
  <si>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</si>
  <si>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</si>
  <si>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</si>
  <si>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</si>
  <si>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</si>
  <si>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</si>
  <si>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</si>
  <si>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</si>
  <si>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</si>
  <si>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</si>
  <si>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</si>
  <si>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</si>
  <si>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</si>
  <si>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</si>
  <si>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</si>
  <si>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</si>
  <si>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</si>
  <si>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</si>
  <si>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</si>
  <si>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</si>
  <si>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</si>
  <si>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</si>
  <si>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</si>
  <si>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</si>
  <si>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</si>
  <si>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</si>
  <si>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</si>
  <si>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</si>
  <si>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</si>
  <si>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</si>
  <si>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</si>
  <si>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</si>
  <si>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</si>
  <si>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</si>
  <si>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</si>
  <si>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</si>
  <si>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</si>
  <si>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</si>
  <si>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</si>
  <si>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</si>
  <si>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</si>
  <si>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</si>
  <si>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</si>
  <si>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</si>
  <si>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</si>
  <si>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</si>
  <si>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</si>
  <si>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</si>
  <si>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</si>
  <si>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</si>
  <si>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</si>
  <si>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</si>
  <si>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</si>
  <si>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</si>
  <si>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</si>
  <si>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</si>
  <si>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</si>
  <si>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</si>
  <si>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</si>
  <si>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</si>
  <si>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</si>
  <si>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</si>
  <si>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</si>
  <si>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</si>
  <si>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</si>
  <si>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</si>
  <si>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</si>
  <si>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</si>
  <si>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</si>
  <si>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</si>
  <si>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</si>
  <si>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</si>
  <si>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</si>
  <si>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</si>
  <si>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</si>
  <si>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</si>
  <si>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</si>
  <si>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</si>
  <si>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</si>
  <si>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</si>
  <si>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</si>
  <si>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</si>
  <si>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</si>
  <si>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</si>
  <si>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</si>
  <si>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</si>
  <si>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</si>
  <si>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</si>
  <si>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</si>
  <si>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</si>
  <si>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</si>
  <si>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</si>
  <si>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</si>
  <si>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</si>
  <si>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</si>
  <si>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</si>
  <si>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</si>
  <si>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</si>
  <si>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</si>
  <si>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</si>
  <si>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</si>
  <si>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</si>
  <si>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</si>
  <si>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</si>
  <si>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</si>
  <si>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</si>
  <si>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</si>
  <si>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</si>
  <si>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</si>
  <si>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</si>
  <si>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</si>
  <si>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</si>
  <si>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</si>
  <si>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</si>
  <si>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</si>
  <si>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</si>
  <si>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</si>
  <si>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</si>
  <si>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</si>
  <si>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</si>
  <si>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</si>
  <si>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</si>
  <si>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</si>
  <si>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</si>
  <si>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</si>
  <si>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</si>
  <si>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</si>
  <si>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</si>
  <si>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</si>
  <si>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</si>
  <si>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</si>
  <si>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</si>
  <si>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</si>
  <si>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</si>
  <si>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</si>
  <si>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</si>
  <si>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</si>
  <si>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</si>
  <si>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</si>
  <si>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</si>
  <si>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</si>
  <si>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</si>
  <si>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</si>
  <si>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</si>
  <si>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</si>
  <si>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</si>
  <si>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</si>
  <si>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</si>
  <si>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</si>
  <si>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</si>
  <si>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</si>
  <si>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</si>
  <si>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</si>
  <si>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</si>
  <si>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</si>
  <si>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</si>
  <si>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</si>
  <si>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</si>
  <si>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</si>
  <si>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</si>
  <si>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</si>
  <si>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</si>
  <si>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</si>
  <si>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</si>
  <si>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</si>
  <si>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</si>
  <si>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</si>
  <si>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</si>
  <si>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</si>
  <si>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</si>
  <si>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</si>
  <si>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</si>
  <si>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</si>
  <si>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</si>
  <si>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</si>
  <si>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</si>
  <si>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</si>
  <si>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</si>
  <si>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</si>
  <si>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</si>
  <si>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</si>
  <si>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</si>
  <si>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</si>
  <si>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</si>
  <si>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</si>
  <si>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</si>
  <si>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</si>
  <si>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</si>
  <si>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</si>
  <si>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</si>
  <si>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</si>
  <si>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</si>
  <si>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</si>
  <si>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</si>
  <si>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</si>
  <si>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</si>
  <si>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</si>
  <si>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</si>
  <si>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</si>
  <si>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</si>
  <si>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</si>
  <si>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</si>
  <si>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</si>
  <si>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</si>
  <si>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</si>
  <si>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</si>
  <si>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</si>
  <si>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</si>
  <si>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</si>
  <si>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</si>
  <si>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</si>
  <si>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</si>
  <si>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</si>
  <si>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</si>
  <si>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</si>
  <si>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</si>
  <si>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</si>
  <si>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</si>
  <si>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</si>
  <si>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</si>
  <si>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</si>
  <si>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</si>
  <si>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</si>
  <si>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</si>
  <si>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</si>
  <si>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</si>
  <si>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</si>
  <si>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</si>
  <si>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</si>
  <si>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</si>
  <si>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</si>
  <si>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</si>
  <si>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</si>
  <si>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</si>
  <si>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</si>
  <si>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</si>
  <si>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</si>
  <si>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</si>
  <si>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</si>
  <si>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</si>
  <si>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</si>
  <si>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</si>
  <si>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</si>
  <si>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</si>
  <si>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</si>
  <si>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</si>
  <si>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</si>
  <si>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</si>
  <si>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</si>
  <si>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</si>
  <si>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</si>
  <si>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</si>
  <si>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</si>
  <si>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</si>
  <si>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</si>
  <si>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</si>
  <si>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</si>
  <si>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</si>
  <si>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</si>
  <si>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</si>
  <si>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</si>
  <si>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</si>
  <si>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</si>
  <si>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</si>
  <si>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</si>
  <si>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</si>
  <si>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</si>
  <si>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</si>
  <si>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</si>
  <si>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</si>
  <si>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</si>
  <si>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</si>
  <si>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</si>
  <si>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</si>
  <si>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</si>
  <si>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</si>
  <si>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</si>
  <si>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</si>
  <si>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</si>
  <si>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</si>
  <si>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</si>
  <si>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</si>
  <si>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</si>
  <si>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</si>
  <si>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</si>
  <si>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</si>
  <si>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</si>
  <si>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</si>
  <si>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</si>
  <si>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</si>
  <si>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</si>
  <si>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</si>
  <si>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</si>
  <si>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</si>
  <si>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</si>
  <si>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</si>
  <si>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</si>
  <si>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</si>
  <si>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</si>
  <si>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</si>
  <si>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</si>
  <si>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</si>
  <si>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</si>
  <si>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</si>
  <si>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</si>
  <si>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</si>
  <si>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</si>
  <si>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</si>
  <si>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</si>
  <si>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</si>
  <si>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</si>
  <si>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</si>
  <si>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</si>
  <si>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</si>
  <si>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</si>
  <si>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</si>
  <si>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</si>
  <si>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</si>
  <si>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</si>
  <si>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</si>
  <si>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</si>
  <si>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</si>
  <si>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</si>
  <si>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</si>
  <si>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</si>
  <si>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</si>
  <si>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</si>
  <si>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</si>
  <si>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</si>
  <si>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</si>
  <si>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</si>
  <si>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</si>
  <si>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</si>
  <si>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</si>
  <si>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</si>
  <si>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</si>
  <si>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</si>
  <si>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</si>
  <si>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</si>
  <si>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</si>
  <si>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</si>
  <si>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</si>
  <si>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</si>
  <si>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</si>
  <si>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</si>
  <si>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</si>
  <si>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</si>
  <si>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</si>
  <si>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</si>
  <si>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</si>
  <si>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</si>
  <si>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</si>
  <si>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</si>
  <si>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</si>
  <si>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</si>
  <si>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</si>
  <si>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</si>
  <si>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</si>
  <si>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</si>
  <si>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</si>
  <si>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</si>
  <si>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</si>
  <si>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</si>
  <si>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</si>
  <si>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</si>
  <si>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</si>
  <si>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</si>
  <si>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</si>
  <si>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</si>
  <si>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</si>
  <si>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</si>
  <si>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</si>
  <si>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</si>
  <si>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</si>
  <si>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</si>
  <si>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</si>
  <si>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</si>
  <si>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</si>
  <si>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</si>
  <si>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</si>
  <si>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</si>
  <si>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</si>
  <si>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</si>
  <si>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</si>
  <si>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</si>
  <si>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</si>
  <si>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</si>
  <si>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</si>
  <si>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</si>
  <si>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</si>
  <si>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</si>
  <si>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</si>
  <si>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</si>
  <si>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</si>
  <si>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</si>
  <si>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</si>
  <si>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</si>
  <si>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</si>
  <si>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</si>
  <si>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</si>
  <si>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</si>
  <si>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</si>
  <si>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</si>
  <si>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</si>
  <si>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</si>
  <si>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</si>
  <si>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</si>
  <si>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</si>
  <si>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</si>
  <si>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</si>
  <si>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</si>
  <si>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</si>
  <si>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</si>
  <si>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</si>
  <si>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</si>
  <si>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</si>
  <si>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</si>
  <si>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</si>
  <si>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</si>
  <si>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</si>
  <si>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</si>
  <si>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</si>
  <si>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</si>
  <si>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</si>
  <si>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</si>
  <si>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</si>
  <si>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</si>
  <si>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</si>
  <si>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</si>
  <si>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</si>
  <si>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</si>
  <si>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</si>
  <si>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</si>
  <si>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</si>
  <si>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</si>
  <si>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</si>
  <si>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</si>
  <si>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</si>
  <si>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</si>
  <si>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</si>
  <si>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</si>
  <si>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</si>
  <si>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</si>
  <si>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</si>
  <si>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</si>
  <si>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</si>
  <si>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</si>
  <si>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</si>
  <si>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</si>
  <si>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</si>
  <si>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</si>
  <si>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</si>
  <si>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</si>
  <si>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</si>
  <si>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</si>
  <si>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</si>
  <si>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</si>
  <si>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</si>
  <si>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</si>
  <si>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</si>
  <si>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</si>
  <si>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</si>
  <si>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</si>
  <si>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</si>
  <si>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</si>
  <si>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</si>
  <si>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</si>
  <si>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</si>
  <si>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</si>
  <si>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</si>
  <si>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</si>
  <si>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</si>
  <si>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</si>
  <si>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</si>
  <si>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</si>
  <si>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</si>
  <si>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</si>
  <si>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</si>
  <si>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</si>
  <si>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</si>
  <si>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</si>
  <si>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</si>
  <si>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</si>
  <si>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</si>
  <si>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</si>
  <si>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</si>
  <si>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</si>
  <si>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</si>
  <si>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</si>
  <si>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</si>
  <si>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</si>
  <si>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</si>
  <si>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</si>
  <si>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</si>
  <si>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</si>
  <si>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</si>
  <si>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</si>
  <si>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</si>
  <si>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</si>
  <si>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</si>
  <si>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</si>
  <si>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</si>
  <si>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</si>
  <si>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</si>
  <si>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</si>
  <si>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</si>
  <si>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</si>
  <si>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</si>
  <si>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</si>
  <si>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</si>
  <si>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</si>
  <si>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</si>
  <si>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</si>
  <si>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</si>
  <si>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</si>
  <si>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</si>
  <si>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</si>
  <si>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</si>
  <si>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</si>
  <si>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</si>
  <si>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</si>
  <si>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</si>
  <si>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</si>
  <si>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</si>
  <si>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</si>
  <si>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</si>
  <si>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</si>
  <si>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</si>
  <si>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</si>
  <si>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</si>
  <si>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</si>
  <si>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</si>
  <si>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</si>
  <si>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</si>
  <si>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</si>
  <si>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</si>
  <si>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</si>
  <si>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</si>
  <si>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</si>
  <si>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</si>
  <si>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</si>
  <si>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</si>
  <si>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</si>
  <si>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</si>
  <si>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</si>
  <si>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</si>
  <si>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</si>
  <si>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</si>
  <si>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</si>
  <si>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</si>
  <si>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</si>
  <si>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</si>
  <si>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</si>
  <si>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</si>
  <si>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</si>
  <si>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</si>
  <si>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</si>
  <si>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</si>
  <si>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</si>
  <si>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</si>
  <si>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</si>
  <si>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</si>
  <si>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</si>
  <si>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</si>
  <si>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</si>
  <si>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</si>
  <si>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</si>
  <si>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</si>
  <si>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</si>
  <si>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</si>
  <si>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</si>
  <si>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</si>
  <si>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</si>
  <si>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</si>
  <si>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</si>
  <si>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</si>
  <si>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</si>
  <si>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</si>
  <si>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</si>
  <si>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</si>
  <si>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</si>
  <si>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</si>
  <si>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</si>
  <si>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</si>
  <si>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</si>
  <si>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</si>
  <si>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</si>
  <si>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</si>
  <si>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</si>
  <si>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</si>
  <si>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</si>
  <si>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</si>
  <si>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</si>
  <si>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</si>
  <si>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</si>
  <si>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</si>
  <si>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</si>
  <si>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</si>
  <si>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</si>
  <si>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</si>
  <si>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</si>
  <si>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</si>
  <si>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</si>
  <si>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</si>
  <si>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</si>
  <si>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</si>
  <si>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</si>
  <si>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</si>
  <si>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</si>
  <si>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</si>
  <si>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</si>
  <si>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</si>
  <si>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</si>
  <si>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</si>
  <si>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</si>
  <si>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</si>
  <si>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</si>
  <si>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</si>
  <si>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</si>
  <si>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</si>
  <si>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</si>
  <si>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</si>
  <si>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</si>
  <si>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</si>
  <si>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</si>
  <si>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</si>
  <si>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</si>
  <si>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</si>
  <si>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</si>
  <si>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</si>
  <si>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</si>
  <si>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</si>
  <si>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</si>
  <si>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</si>
  <si>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</si>
  <si>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</si>
  <si>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</si>
  <si>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</si>
  <si>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</si>
  <si>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</si>
  <si>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</si>
  <si>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</si>
  <si>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</si>
  <si>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</si>
  <si>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</si>
  <si>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</si>
  <si>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</si>
  <si>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</si>
  <si>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</si>
  <si>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</si>
  <si>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</si>
  <si>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</si>
  <si>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</si>
  <si>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</si>
  <si>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</si>
  <si>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</si>
  <si>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</si>
  <si>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</si>
  <si>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</si>
  <si>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</si>
  <si>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</si>
  <si>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</si>
  <si>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</si>
  <si>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</si>
  <si>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</si>
  <si>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</si>
  <si>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</si>
  <si>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</si>
  <si>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</si>
  <si>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</si>
  <si>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</si>
  <si>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</si>
  <si>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</si>
  <si>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</si>
  <si>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</si>
  <si>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</si>
  <si>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</si>
  <si>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</si>
  <si>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</si>
  <si>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</si>
  <si>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</si>
  <si>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</si>
  <si>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</si>
  <si>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</si>
  <si>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</si>
  <si>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</si>
  <si>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</si>
  <si>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</si>
  <si>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</si>
  <si>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</si>
  <si>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</si>
  <si>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</si>
  <si>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</si>
  <si>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</si>
  <si>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</si>
  <si>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</si>
  <si>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</si>
  <si>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</si>
  <si>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</si>
  <si>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</si>
  <si>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</si>
  <si>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</si>
  <si>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</si>
  <si>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</si>
  <si>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</si>
  <si>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</si>
  <si>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</si>
  <si>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</si>
  <si>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</si>
  <si>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</si>
  <si>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</si>
  <si>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</si>
  <si>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</si>
  <si>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</si>
  <si>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</si>
  <si>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</si>
  <si>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</si>
  <si>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</si>
  <si>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</si>
  <si>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</si>
  <si>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</si>
  <si>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</si>
  <si>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</si>
  <si>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</si>
  <si>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</si>
  <si>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</si>
  <si>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</si>
  <si>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</si>
  <si>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</si>
  <si>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</si>
  <si>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</si>
  <si>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</si>
  <si>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</si>
  <si>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</si>
  <si>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</si>
  <si>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</si>
  <si>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</si>
  <si>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</si>
  <si>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</si>
  <si>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</si>
  <si>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</si>
  <si>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</si>
  <si>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</si>
  <si>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</si>
  <si>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</si>
  <si>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</si>
  <si>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</si>
  <si>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</si>
  <si>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</si>
  <si>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</si>
  <si>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</si>
  <si>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</si>
  <si>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</si>
  <si>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</si>
  <si>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</si>
  <si>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</si>
  <si>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</si>
  <si>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</si>
  <si>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</si>
  <si>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</si>
  <si>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</si>
  <si>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</si>
  <si>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</si>
  <si>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</si>
  <si>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</si>
  <si>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</si>
  <si>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</si>
  <si>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</si>
  <si>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</si>
  <si>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</si>
  <si>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</si>
  <si>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</si>
  <si>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</si>
  <si>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</si>
  <si>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</si>
  <si>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</si>
  <si>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</si>
  <si>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</si>
  <si>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</si>
  <si>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</si>
  <si>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</si>
  <si>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</si>
  <si>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</si>
  <si>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</si>
  <si>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</si>
  <si>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</si>
  <si>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</si>
  <si>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</si>
  <si>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</si>
  <si>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</si>
  <si>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</si>
  <si>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</si>
  <si>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</si>
  <si>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</si>
  <si>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</si>
  <si>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</si>
  <si>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</si>
  <si>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</si>
  <si>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</si>
  <si>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</si>
  <si>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</si>
  <si>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</si>
  <si>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</si>
  <si>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</si>
  <si>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</si>
  <si>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</si>
  <si>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</si>
  <si>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</si>
  <si>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</si>
  <si>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</si>
  <si>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</si>
  <si>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</si>
  <si>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</si>
  <si>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</si>
  <si>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</si>
  <si>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</si>
  <si>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</si>
  <si>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</si>
  <si>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</si>
  <si>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</si>
  <si>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</si>
  <si>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</si>
  <si>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</si>
  <si>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</si>
  <si>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</si>
  <si>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</si>
  <si>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</si>
  <si>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</si>
  <si>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</si>
  <si>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</si>
  <si>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</si>
  <si>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</si>
  <si>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</si>
  <si>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</si>
  <si>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</si>
  <si>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</si>
  <si>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</si>
  <si>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</si>
  <si>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</si>
  <si>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</si>
  <si>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</si>
  <si>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</si>
  <si>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</si>
  <si>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</si>
  <si>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</si>
  <si>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</si>
  <si>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</si>
  <si>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</si>
  <si>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</si>
  <si>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</si>
  <si>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</si>
  <si>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</si>
  <si>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</si>
  <si>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</si>
  <si>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</si>
  <si>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</si>
  <si>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</si>
  <si>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</si>
  <si>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</si>
  <si>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</si>
  <si>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</si>
  <si>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</si>
  <si>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</si>
  <si>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</si>
  <si>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</si>
  <si>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</si>
  <si>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</si>
  <si>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</si>
  <si>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</si>
  <si>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</si>
  <si>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</si>
  <si>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</si>
  <si>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</si>
  <si>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</si>
  <si>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</si>
  <si>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</si>
  <si>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</si>
  <si>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</si>
  <si>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</si>
  <si>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</si>
  <si>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</si>
  <si>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</si>
  <si>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</si>
  <si>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</si>
  <si>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</si>
  <si>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</si>
  <si>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</si>
  <si>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</si>
  <si>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</si>
  <si>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</si>
  <si>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</si>
  <si>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</si>
  <si>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</si>
  <si>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</si>
  <si>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</si>
  <si>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</si>
  <si>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</si>
  <si>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</si>
  <si>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</si>
  <si>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</si>
  <si>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</si>
  <si>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</si>
  <si>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</si>
  <si>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</si>
  <si>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</si>
  <si>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</si>
  <si>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</si>
  <si>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</si>
  <si>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</si>
  <si>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</si>
  <si>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</si>
  <si>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</si>
  <si>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</si>
  <si>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</si>
  <si>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</si>
  <si>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</si>
  <si>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</si>
  <si>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</si>
  <si>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</si>
  <si>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</si>
  <si>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</si>
  <si>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</si>
  <si>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</si>
  <si>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</si>
  <si>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</si>
  <si>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</si>
  <si>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</si>
  <si>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</si>
  <si>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</si>
  <si>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</si>
  <si>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</si>
  <si>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</si>
  <si>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</si>
  <si>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</si>
  <si>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</si>
  <si>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</si>
  <si>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</si>
  <si>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</si>
  <si>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</si>
  <si>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</si>
  <si>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</si>
  <si>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</si>
  <si>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</si>
  <si>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</si>
  <si>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</si>
  <si>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</si>
  <si>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</si>
  <si>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</si>
  <si>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</si>
  <si>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</si>
  <si>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</si>
  <si>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</si>
  <si>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</si>
  <si>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</si>
  <si>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</si>
  <si>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</si>
  <si>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</si>
  <si>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</si>
  <si>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</si>
  <si>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</si>
  <si>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</si>
  <si>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</si>
  <si>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</si>
  <si>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</si>
  <si>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</si>
  <si>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</si>
  <si>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</si>
  <si>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</si>
  <si>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</si>
  <si>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</si>
  <si>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</si>
  <si>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</si>
  <si>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</si>
  <si>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</si>
  <si>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</si>
  <si>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</si>
  <si>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</si>
  <si>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</si>
  <si>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</si>
  <si>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</si>
  <si>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</si>
  <si>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</si>
  <si>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</si>
  <si>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</si>
  <si>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</si>
  <si>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</si>
  <si>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</si>
  <si>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</si>
  <si>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</si>
  <si>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</si>
  <si>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</si>
  <si>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</si>
  <si>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</si>
  <si>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</si>
  <si>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</si>
  <si>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</si>
  <si>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</si>
  <si>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</si>
  <si>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</si>
  <si>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</si>
  <si>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</si>
  <si>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</si>
  <si>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</si>
  <si>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</si>
  <si>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</si>
  <si>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</si>
  <si>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</si>
  <si>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</si>
  <si>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</si>
  <si>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</si>
  <si>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</si>
  <si>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</si>
  <si>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</si>
  <si>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</si>
  <si>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</si>
  <si>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</si>
  <si>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</si>
  <si>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</si>
  <si>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</si>
  <si>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</si>
  <si>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</si>
  <si>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</si>
  <si>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</si>
  <si>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</si>
  <si>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</si>
  <si>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</si>
  <si>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</si>
  <si>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</si>
  <si>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</si>
  <si>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</si>
  <si>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</si>
  <si>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</si>
  <si>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</si>
  <si>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</si>
  <si>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</si>
  <si>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</si>
  <si>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</si>
  <si>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</si>
  <si>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</si>
  <si>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</si>
  <si>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</si>
  <si>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</si>
  <si>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</si>
  <si>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</si>
  <si>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</si>
  <si>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</si>
  <si>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</si>
  <si>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</si>
  <si>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</si>
  <si>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</si>
  <si>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</si>
  <si>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</si>
  <si>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</si>
  <si>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</si>
  <si>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</si>
  <si>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</si>
  <si>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</si>
  <si>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</si>
  <si>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</si>
  <si>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</si>
  <si>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</si>
  <si>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</si>
  <si>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</si>
  <si>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</si>
  <si>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</si>
  <si>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</si>
  <si>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</si>
  <si>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</si>
  <si>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</si>
  <si>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</si>
  <si>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</si>
  <si>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</si>
  <si>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</si>
  <si>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</si>
  <si>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</si>
  <si>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</si>
  <si>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</si>
  <si>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</si>
  <si>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</si>
  <si>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</si>
  <si>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</si>
  <si>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</si>
  <si>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</si>
  <si>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</si>
  <si>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</si>
  <si>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</si>
  <si>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</si>
  <si>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</si>
  <si>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</si>
  <si>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</si>
  <si>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</si>
  <si>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</si>
  <si>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</si>
  <si>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</si>
  <si>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</si>
  <si>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</si>
  <si>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</si>
  <si>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</si>
  <si>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</si>
  <si>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</si>
  <si>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</si>
  <si>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</si>
  <si>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</si>
  <si>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</si>
  <si>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</si>
  <si>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</si>
  <si>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</si>
  <si>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</si>
  <si>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</si>
  <si>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</si>
  <si>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</si>
  <si>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</si>
  <si>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</si>
  <si>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</si>
  <si>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</si>
  <si>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</si>
  <si>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</si>
  <si>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</si>
  <si>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</si>
  <si>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</si>
  <si>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</si>
  <si>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</si>
  <si>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</si>
  <si>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</si>
  <si>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</si>
  <si>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</si>
  <si>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</si>
  <si>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</si>
  <si>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</si>
  <si>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</si>
  <si>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</si>
  <si>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</si>
  <si>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</si>
  <si>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</si>
  <si>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</si>
  <si>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</si>
  <si>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</si>
  <si>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</si>
  <si>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</si>
  <si>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</si>
  <si>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</si>
  <si>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</si>
  <si>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</si>
  <si>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</si>
  <si>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</si>
  <si>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</si>
  <si>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</si>
  <si>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</si>
  <si>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</si>
  <si>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</si>
  <si>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</si>
  <si>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</si>
  <si>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</si>
  <si>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</si>
  <si>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</si>
  <si>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</si>
  <si>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</si>
  <si>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</si>
  <si>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</si>
  <si>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</si>
  <si>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</si>
  <si>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</si>
  <si>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</si>
  <si>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</si>
  <si>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</si>
  <si>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</si>
  <si>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</si>
  <si>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</si>
  <si>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</si>
  <si>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</si>
  <si>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</si>
  <si>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</si>
  <si>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</si>
  <si>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</si>
  <si>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</si>
  <si>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</si>
  <si>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</si>
  <si>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</si>
  <si>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</si>
  <si>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</si>
  <si>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</si>
  <si>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</si>
  <si>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</si>
  <si>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</si>
  <si>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</si>
  <si>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</si>
  <si>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</si>
  <si>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</si>
  <si>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</si>
  <si>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</si>
  <si>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</si>
  <si>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</si>
  <si>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</si>
  <si>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</si>
  <si>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</si>
  <si>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</si>
  <si>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</si>
  <si>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</si>
  <si>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</si>
  <si>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</si>
  <si>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</si>
  <si>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</si>
  <si>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</si>
  <si>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</si>
  <si>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</si>
  <si>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</si>
  <si>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</si>
  <si>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</si>
  <si>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</si>
  <si>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</si>
  <si>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</si>
  <si>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</si>
  <si>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</si>
  <si>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</si>
  <si>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</si>
  <si>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</si>
  <si>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</si>
  <si>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</si>
  <si>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</si>
  <si>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</si>
  <si>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</si>
  <si>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</si>
  <si>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</si>
  <si>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</si>
  <si>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</si>
  <si>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</si>
  <si>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</si>
  <si>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</si>
  <si>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</si>
  <si>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</si>
  <si>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</si>
  <si>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</si>
  <si>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</si>
  <si>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</si>
  <si>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</si>
  <si>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</si>
  <si>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</si>
  <si>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</si>
  <si>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</si>
  <si>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</si>
  <si>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</si>
  <si>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</si>
  <si>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</si>
  <si>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</si>
  <si>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</si>
  <si>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</si>
  <si>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</si>
  <si>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</si>
  <si>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</si>
  <si>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</si>
  <si>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</si>
  <si>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</si>
  <si>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</si>
  <si>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</si>
  <si>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</si>
  <si>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</si>
  <si>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</si>
  <si>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</si>
  <si>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</si>
  <si>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</si>
  <si>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</si>
  <si>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</si>
  <si>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</si>
  <si>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</si>
  <si>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</si>
  <si>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</si>
  <si>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</si>
  <si>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</si>
  <si>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</si>
  <si>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</si>
  <si>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</si>
  <si>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</si>
  <si>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</si>
  <si>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</si>
  <si>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</si>
  <si>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</si>
  <si>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</si>
  <si>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</si>
  <si>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</si>
  <si>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</si>
  <si>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</si>
  <si>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</si>
  <si>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</si>
  <si>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</si>
  <si>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</si>
  <si>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</si>
  <si>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</si>
  <si>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</si>
  <si>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</si>
  <si>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</si>
  <si>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</si>
  <si>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</si>
  <si>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</si>
  <si>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</si>
  <si>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</si>
  <si>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</si>
  <si>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</si>
  <si>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</si>
  <si>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</si>
  <si>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</si>
  <si>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</si>
  <si>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</si>
  <si>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</si>
  <si>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</si>
  <si>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</si>
  <si>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</si>
  <si>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</si>
  <si>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</si>
  <si>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</si>
  <si>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</si>
  <si>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</si>
  <si>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</si>
  <si>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</si>
  <si>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</si>
  <si>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</si>
  <si>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</si>
  <si>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</si>
  <si>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</si>
  <si>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</si>
  <si>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</si>
  <si>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</si>
  <si>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</si>
  <si>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</si>
  <si>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</si>
  <si>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</si>
  <si>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</si>
  <si>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</si>
  <si>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</si>
  <si>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</si>
  <si>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</si>
  <si>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</si>
  <si>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</si>
  <si>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</si>
  <si>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</si>
  <si>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</si>
  <si>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</si>
  <si>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</si>
  <si>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</si>
  <si>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</si>
  <si>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</si>
  <si>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</si>
  <si>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</si>
  <si>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</si>
  <si>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</si>
  <si>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</si>
  <si>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</si>
  <si>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</si>
  <si>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</si>
  <si>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</si>
  <si>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</si>
  <si>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</si>
  <si>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</si>
  <si>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</si>
  <si>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</si>
  <si>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</si>
  <si>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</si>
  <si>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</si>
  <si>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</si>
  <si>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</si>
  <si>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</si>
  <si>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</si>
  <si>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</si>
  <si>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</si>
  <si>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</si>
  <si>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</si>
  <si>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</si>
  <si>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</si>
  <si>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</si>
  <si>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</si>
  <si>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</si>
  <si>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</si>
  <si>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</si>
  <si>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</si>
  <si>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</si>
  <si>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</si>
  <si>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</si>
  <si>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</si>
  <si>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</si>
  <si>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</si>
  <si>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</si>
  <si>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</si>
  <si>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</si>
  <si>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</si>
  <si>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</si>
  <si>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</si>
  <si>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</si>
  <si>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</si>
  <si>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</si>
  <si>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</si>
  <si>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</si>
  <si>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</si>
  <si>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</si>
  <si>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</si>
  <si>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</si>
  <si>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</si>
  <si>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</si>
  <si>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</si>
  <si>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</si>
  <si>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</si>
  <si>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</si>
  <si>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</si>
  <si>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</si>
  <si>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</si>
  <si>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</si>
  <si>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</si>
  <si>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</si>
  <si>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</si>
  <si>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</si>
  <si>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</si>
  <si>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</si>
  <si>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</si>
  <si>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</si>
  <si>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</si>
  <si>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</si>
  <si>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</si>
  <si>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</si>
  <si>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</si>
  <si>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</si>
  <si>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</si>
  <si>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</si>
  <si>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</si>
  <si>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</si>
  <si>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</si>
  <si>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</si>
  <si>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</si>
  <si>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</si>
  <si>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</si>
  <si>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</si>
  <si>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</si>
  <si>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</si>
  <si>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</si>
  <si>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</si>
  <si>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</si>
  <si>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</si>
  <si>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</si>
  <si>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</si>
  <si>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</si>
  <si>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</si>
  <si>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</si>
  <si>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</si>
  <si>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</si>
  <si>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</si>
  <si>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</si>
  <si>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</si>
  <si>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</si>
  <si>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</si>
  <si>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</si>
  <si>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</si>
  <si>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</si>
  <si>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</si>
  <si>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</si>
  <si>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</si>
  <si>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</si>
  <si>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</si>
  <si>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</si>
  <si>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</si>
  <si>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</si>
  <si>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</si>
  <si>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</si>
  <si>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</si>
  <si>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</si>
  <si>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</si>
  <si>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</si>
  <si>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</si>
  <si>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</si>
  <si>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</si>
  <si>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</si>
  <si>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</si>
  <si>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</si>
  <si>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</si>
  <si>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</si>
  <si>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</si>
  <si>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</si>
  <si>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</si>
  <si>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</si>
  <si>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</si>
  <si>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</si>
  <si>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</si>
  <si>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</si>
  <si>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</si>
  <si>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</si>
  <si>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</si>
  <si>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</si>
  <si>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</si>
  <si>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</si>
  <si>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</si>
  <si>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</si>
  <si>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</si>
  <si>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</si>
  <si>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</si>
  <si>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</si>
  <si>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</si>
  <si>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</si>
  <si>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</si>
  <si>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</si>
  <si>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</si>
  <si>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</si>
  <si>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</si>
  <si>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</si>
  <si>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</si>
  <si>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</si>
  <si>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</si>
  <si>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</si>
  <si>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</si>
  <si>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</si>
  <si>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</si>
  <si>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</si>
  <si>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</si>
  <si>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</si>
  <si>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</si>
  <si>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</si>
  <si>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</si>
  <si>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</si>
  <si>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</si>
  <si>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</si>
  <si>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</si>
  <si>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</si>
  <si>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</si>
  <si>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</si>
  <si>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</si>
  <si>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</si>
  <si>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</si>
  <si>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</si>
  <si>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</si>
  <si>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</si>
  <si>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</si>
  <si>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</si>
  <si>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</si>
  <si>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</si>
  <si>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</si>
  <si>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</si>
  <si>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</si>
  <si>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</si>
  <si>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</si>
  <si>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</si>
  <si>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</si>
  <si>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</si>
  <si>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</si>
  <si>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</si>
  <si>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</si>
  <si>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</si>
  <si>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</si>
  <si>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</si>
  <si>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</si>
  <si>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</si>
  <si>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</si>
  <si>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</si>
  <si>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</si>
  <si>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</si>
  <si>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</si>
  <si>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</si>
  <si>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</si>
  <si>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</si>
  <si>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</si>
  <si>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</si>
  <si>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</si>
  <si>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</si>
  <si>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</si>
  <si>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</si>
  <si>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</si>
  <si>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</si>
  <si>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</si>
  <si>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</si>
  <si>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</si>
  <si>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</si>
  <si>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</si>
  <si>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</si>
  <si>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</si>
  <si>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</si>
  <si>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</si>
  <si>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</si>
  <si>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</si>
  <si>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</si>
  <si>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</si>
  <si>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</si>
  <si>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</si>
  <si>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</si>
  <si>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</si>
  <si>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</si>
  <si>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</si>
  <si>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</si>
  <si>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</si>
  <si>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</si>
  <si>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</si>
  <si>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</si>
  <si>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</si>
  <si>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</si>
  <si>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</si>
  <si>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</si>
  <si>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</si>
  <si>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</si>
  <si>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</si>
  <si>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</si>
  <si>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</si>
  <si>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</si>
  <si>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</si>
  <si>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</si>
  <si>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</si>
  <si>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</si>
  <si>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</si>
  <si>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</si>
  <si>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</si>
  <si>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</si>
  <si>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</si>
  <si>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</si>
  <si>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</si>
  <si>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</si>
  <si>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</si>
  <si>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</si>
  <si>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</si>
  <si>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</si>
  <si>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</si>
  <si>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</si>
  <si>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</si>
  <si>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</si>
  <si>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</si>
  <si>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</si>
  <si>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</si>
  <si>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</si>
  <si>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</si>
  <si>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</si>
  <si>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</si>
  <si>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</si>
  <si>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</si>
  <si>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</si>
  <si>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</si>
  <si>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</si>
  <si>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</si>
  <si>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</si>
  <si>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</si>
  <si>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</si>
  <si>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</si>
  <si>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</si>
  <si>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</si>
  <si>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</si>
  <si>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</si>
  <si>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</si>
  <si>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</si>
  <si>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</si>
  <si>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</si>
  <si>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</si>
  <si>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</si>
  <si>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</si>
  <si>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</si>
  <si>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</si>
  <si>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</si>
  <si>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</si>
  <si>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</si>
  <si>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</si>
  <si>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</si>
  <si>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</si>
  <si>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</si>
  <si>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</si>
  <si>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</si>
  <si>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</si>
  <si>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</si>
  <si>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</si>
  <si>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</si>
  <si>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</si>
  <si>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</si>
  <si>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</si>
  <si>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</si>
  <si>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</si>
  <si>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</si>
  <si>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</si>
  <si>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</si>
  <si>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</si>
  <si>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</si>
  <si>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</si>
  <si>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</si>
  <si>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</si>
  <si>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</si>
  <si>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</si>
  <si>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</si>
  <si>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</si>
  <si>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</si>
  <si>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</si>
  <si>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</si>
  <si>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</si>
  <si>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</si>
  <si>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</si>
  <si>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</si>
  <si>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</si>
  <si>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</si>
  <si>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</si>
  <si>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</si>
  <si>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</si>
  <si>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</si>
  <si>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</si>
  <si>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</si>
  <si>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</si>
  <si>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</si>
  <si>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</si>
  <si>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</si>
  <si>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</si>
  <si>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</si>
  <si>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</si>
  <si>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</si>
  <si>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</si>
  <si>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</si>
  <si>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</si>
  <si>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</si>
  <si>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</si>
  <si>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</si>
  <si>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</si>
  <si>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</si>
  <si>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</si>
  <si>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</si>
  <si>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</si>
  <si>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</si>
  <si>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</si>
  <si>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</si>
  <si>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</si>
  <si>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</si>
  <si>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</si>
  <si>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</si>
  <si>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</si>
  <si>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</si>
  <si>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</si>
  <si>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</si>
  <si>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</si>
  <si>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</si>
  <si>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</si>
  <si>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</si>
  <si>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</si>
  <si>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</si>
  <si>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</si>
  <si>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</si>
  <si>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</si>
  <si>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</si>
  <si>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</si>
  <si>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</si>
  <si>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</si>
  <si>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</si>
  <si>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</si>
  <si>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</si>
  <si>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</si>
  <si>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</si>
  <si>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</si>
  <si>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</si>
  <si>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</si>
  <si>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</si>
  <si>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</si>
  <si>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</si>
  <si>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</si>
  <si>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</si>
  <si>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</si>
  <si>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</si>
  <si>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</si>
  <si>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</si>
  <si>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</si>
  <si>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</si>
  <si>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</si>
  <si>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</si>
  <si>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</si>
  <si>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</si>
  <si>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</si>
  <si>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</si>
  <si>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</si>
  <si>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</si>
  <si>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</si>
  <si>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</si>
  <si>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</si>
  <si>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</si>
  <si>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</si>
  <si>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</si>
  <si>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</si>
  <si>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</si>
  <si>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</si>
  <si>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</si>
  <si>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</si>
  <si>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</si>
  <si>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</si>
  <si>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</si>
  <si>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</si>
  <si>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</si>
  <si>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</si>
  <si>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</si>
  <si>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</si>
  <si>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</si>
  <si>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</si>
  <si>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</si>
  <si>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</si>
  <si>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</si>
  <si>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</si>
  <si>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</si>
  <si>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</si>
  <si>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</si>
  <si>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</si>
  <si>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</si>
  <si>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</si>
  <si>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</si>
  <si>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</si>
  <si>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</si>
  <si>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</si>
  <si>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</si>
  <si>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</si>
  <si>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</si>
  <si>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</si>
  <si>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</si>
  <si>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</si>
  <si>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</si>
  <si>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</si>
  <si>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</si>
  <si>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</si>
  <si>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</si>
  <si>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</si>
  <si>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</si>
  <si>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</si>
  <si>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</si>
  <si>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</si>
  <si>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</si>
  <si>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</si>
  <si>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</si>
  <si>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</si>
  <si>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</si>
  <si>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</si>
  <si>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</si>
  <si>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</si>
  <si>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</si>
  <si>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</si>
  <si>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</si>
  <si>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</si>
  <si>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</si>
  <si>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</si>
  <si>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</si>
  <si>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</si>
  <si>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</si>
  <si>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</si>
  <si>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</si>
  <si>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</si>
  <si>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</si>
  <si>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</si>
  <si>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</si>
  <si>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</si>
  <si>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</si>
  <si>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</si>
  <si>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</si>
  <si>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</si>
  <si>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</si>
  <si>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</si>
  <si>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</si>
  <si>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</si>
  <si>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</si>
  <si>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</si>
  <si>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</si>
  <si>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</si>
  <si>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</si>
  <si>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</si>
  <si>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</si>
  <si>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</si>
  <si>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</si>
  <si>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</si>
  <si>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</si>
  <si>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</si>
  <si>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</si>
  <si>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</si>
  <si>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</si>
  <si>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</si>
  <si>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</si>
  <si>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</si>
  <si>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</si>
  <si>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</si>
  <si>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</si>
  <si>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</si>
  <si>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</si>
  <si>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</si>
  <si>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</si>
  <si>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</si>
  <si>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</si>
  <si>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</si>
  <si>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</si>
  <si>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</si>
  <si>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</si>
  <si>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</si>
  <si>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</si>
  <si>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</si>
  <si>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</si>
  <si>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</si>
  <si>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</si>
  <si>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</si>
  <si>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</si>
  <si>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</si>
  <si>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</si>
  <si>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</si>
  <si>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</si>
  <si>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</si>
  <si>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</si>
  <si>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</si>
  <si>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</si>
  <si>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</si>
  <si>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</si>
  <si>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</si>
  <si>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</si>
  <si>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</si>
  <si>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</si>
  <si>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</si>
  <si>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</si>
  <si>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</si>
  <si>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</si>
  <si>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</si>
  <si>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</si>
  <si>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</si>
  <si>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</si>
  <si>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</si>
  <si>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</si>
  <si>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</si>
  <si>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</si>
  <si>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</si>
  <si>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</si>
  <si>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</si>
  <si>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</si>
  <si>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</si>
  <si>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</si>
  <si>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</si>
  <si>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</si>
  <si>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</si>
  <si>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</si>
  <si>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</si>
  <si>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</si>
  <si>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</si>
  <si>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</si>
  <si>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</si>
  <si>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</si>
  <si>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</si>
  <si>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</si>
  <si>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</si>
  <si>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</si>
  <si>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</si>
  <si>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</si>
  <si>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</si>
  <si>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</si>
  <si>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</si>
  <si>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</si>
  <si>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</si>
  <si>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</si>
  <si>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</si>
  <si>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</si>
  <si>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</si>
  <si>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</si>
  <si>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</si>
  <si>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</si>
  <si>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</si>
  <si>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</si>
  <si>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</si>
  <si>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</si>
  <si>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</si>
  <si>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</si>
  <si>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</si>
  <si>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</si>
  <si>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</si>
  <si>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</si>
  <si>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</si>
  <si>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</si>
  <si>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</si>
  <si>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</si>
  <si>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</si>
  <si>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</si>
  <si>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</si>
  <si>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</si>
  <si>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</si>
  <si>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</si>
  <si>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</si>
  <si>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</si>
  <si>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</si>
  <si>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</si>
  <si>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</si>
  <si>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</si>
  <si>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</si>
  <si>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</si>
  <si>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</si>
  <si>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</si>
  <si>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</si>
  <si>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</si>
  <si>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</si>
  <si>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</si>
  <si>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</si>
  <si>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</si>
  <si>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</si>
  <si>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</si>
  <si>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</si>
  <si>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</si>
  <si>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</si>
  <si>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</si>
  <si>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</si>
  <si>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</si>
  <si>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</si>
  <si>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</si>
  <si>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</si>
  <si>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</si>
  <si>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</si>
  <si>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</si>
  <si>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</si>
  <si>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</si>
  <si>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</si>
  <si>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</si>
  <si>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</si>
  <si>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</si>
  <si>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</si>
  <si>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</si>
  <si>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</si>
  <si>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</si>
  <si>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</si>
  <si>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</si>
  <si>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</si>
  <si>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</si>
  <si>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</si>
  <si>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</si>
  <si>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</si>
  <si>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</si>
  <si>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</si>
  <si>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</si>
  <si>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</si>
  <si>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</si>
  <si>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</si>
  <si>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</si>
  <si>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</si>
  <si>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</si>
  <si>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</si>
  <si>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</si>
  <si>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</si>
  <si>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</si>
  <si>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</si>
  <si>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</si>
  <si>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</si>
  <si>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</si>
  <si>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</si>
  <si>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</si>
  <si>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</si>
  <si>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</si>
  <si>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</si>
  <si>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</si>
  <si>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</si>
  <si>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</si>
  <si>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</si>
  <si>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</si>
  <si>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</si>
  <si>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</si>
  <si>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</si>
  <si>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</si>
  <si>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</si>
  <si>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</si>
  <si>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</si>
  <si>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</si>
  <si>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</si>
  <si>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</si>
  <si>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</si>
  <si>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</si>
  <si>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</si>
  <si>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</si>
  <si>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</si>
  <si>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</si>
  <si>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</si>
  <si>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</si>
  <si>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</si>
  <si>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</si>
  <si>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</si>
  <si>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</si>
  <si>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</si>
  <si>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</si>
  <si>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</si>
  <si>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</si>
  <si>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</si>
  <si>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</si>
  <si>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</si>
  <si>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</si>
  <si>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</si>
  <si>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</si>
  <si>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</si>
  <si>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</si>
  <si>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</si>
  <si>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</si>
  <si>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</si>
  <si>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</si>
  <si>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</si>
  <si>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</si>
  <si>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</si>
  <si>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</si>
  <si>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</si>
  <si>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</si>
  <si>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</si>
  <si>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</si>
  <si>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</si>
  <si>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</si>
  <si>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</si>
  <si>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</si>
  <si>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</si>
  <si>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</si>
  <si>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</si>
  <si>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</si>
  <si>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</si>
  <si>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</si>
  <si>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</si>
  <si>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</si>
  <si>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</si>
  <si>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</si>
  <si>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</si>
  <si>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</si>
  <si>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</si>
  <si>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</si>
  <si>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</si>
  <si>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</si>
  <si>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</si>
  <si>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</si>
  <si>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</si>
  <si>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</si>
  <si>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</si>
  <si>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</si>
  <si>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</si>
  <si>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</si>
  <si>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</si>
  <si>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</si>
  <si>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</si>
  <si>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</si>
  <si>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</si>
  <si>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</si>
  <si>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</si>
  <si>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</si>
  <si>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</si>
  <si>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</si>
  <si>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</si>
  <si>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</si>
  <si>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</si>
  <si>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</si>
  <si>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</si>
  <si>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</si>
  <si>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</si>
  <si>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</si>
  <si>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</si>
  <si>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</si>
  <si>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</si>
  <si>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</si>
  <si>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</si>
  <si>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</si>
  <si>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</si>
  <si>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</si>
  <si>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</si>
  <si>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</si>
  <si>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</si>
  <si>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</si>
  <si>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</si>
  <si>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</si>
  <si>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</si>
  <si>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</si>
  <si>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</si>
  <si>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</si>
  <si>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</si>
  <si>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</si>
  <si>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</si>
  <si>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</si>
  <si>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</si>
  <si>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</si>
  <si>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</si>
  <si>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</si>
  <si>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</si>
  <si>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</si>
  <si>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</si>
  <si>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</si>
  <si>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</si>
  <si>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</si>
  <si>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</si>
  <si>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</si>
  <si>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</si>
  <si>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</si>
  <si>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</si>
  <si>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</si>
  <si>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</si>
  <si>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</si>
  <si>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</si>
  <si>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</si>
  <si>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</si>
  <si>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</si>
  <si>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</si>
  <si>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</si>
  <si>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</si>
  <si>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</si>
  <si>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</si>
  <si>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</si>
  <si>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</si>
  <si>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</si>
  <si>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</si>
  <si>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</si>
  <si>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</si>
  <si>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</si>
  <si>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</si>
  <si>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</si>
  <si>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</si>
  <si>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</si>
  <si>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</si>
  <si>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</si>
  <si>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</si>
  <si>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</si>
  <si>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</si>
  <si>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</si>
  <si>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</si>
  <si>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</si>
  <si>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</si>
  <si>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</si>
  <si>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</si>
  <si>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</si>
  <si>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</si>
  <si>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</si>
  <si>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</si>
  <si>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</si>
  <si>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</si>
  <si>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</si>
  <si>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</si>
  <si>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</si>
  <si>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</si>
  <si>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</si>
  <si>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</si>
  <si>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</si>
  <si>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</si>
  <si>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</si>
  <si>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</si>
  <si>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</si>
  <si>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</si>
  <si>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</si>
  <si>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</si>
  <si>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</si>
  <si>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</si>
  <si>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</si>
  <si>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</si>
  <si>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</si>
  <si>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</si>
  <si>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</si>
  <si>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</si>
  <si>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</si>
  <si>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</si>
  <si>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</si>
  <si>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</si>
  <si>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</si>
  <si>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</si>
  <si>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</si>
  <si>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</si>
  <si>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</si>
  <si>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</si>
  <si>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</si>
  <si>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</si>
  <si>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</si>
  <si>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</si>
  <si>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</si>
  <si>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</si>
  <si>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</si>
  <si>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</si>
  <si>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</si>
  <si>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</si>
  <si>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</si>
  <si>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</si>
  <si>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</si>
  <si>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</si>
  <si>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</si>
  <si>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</si>
  <si>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</si>
  <si>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</si>
  <si>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</si>
  <si>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</si>
  <si>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</si>
  <si>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</si>
  <si>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</si>
  <si>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</si>
  <si>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</si>
  <si>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</si>
  <si>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</si>
  <si>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</si>
  <si>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</si>
  <si>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</si>
  <si>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</si>
  <si>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</si>
  <si>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</si>
  <si>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</si>
  <si>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</si>
  <si>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</si>
  <si>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</si>
  <si>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</si>
  <si>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</si>
  <si>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</si>
  <si>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</si>
  <si>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</si>
  <si>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</si>
  <si>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</si>
  <si>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</si>
  <si>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</si>
  <si>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</si>
  <si>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</si>
  <si>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</si>
  <si>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</si>
  <si>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</si>
  <si>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</si>
  <si>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</si>
  <si>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</si>
  <si>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</si>
  <si>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</si>
  <si>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</si>
  <si>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</si>
  <si>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</si>
  <si>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</si>
  <si>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</si>
  <si>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</si>
  <si>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</si>
  <si>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</si>
  <si>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</si>
  <si>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</si>
  <si>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</si>
  <si>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</si>
  <si>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</si>
  <si>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</si>
  <si>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</si>
  <si>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</si>
  <si>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</si>
  <si>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</si>
  <si>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</si>
  <si>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</si>
  <si>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</si>
  <si>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</si>
  <si>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</si>
  <si>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</si>
  <si>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</si>
  <si>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</si>
  <si>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</si>
  <si>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</si>
  <si>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</si>
  <si>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</si>
  <si>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</si>
  <si>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</si>
  <si>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</si>
  <si>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</si>
  <si>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</si>
  <si>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</si>
  <si>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</si>
  <si>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</si>
  <si>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</si>
  <si>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</si>
  <si>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</si>
  <si>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</si>
  <si>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</si>
  <si>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</si>
  <si>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</si>
  <si>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</si>
  <si>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</si>
  <si>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</si>
  <si>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</si>
  <si>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</si>
  <si>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</si>
  <si>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</si>
  <si>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</si>
  <si>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</si>
  <si>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</si>
  <si>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</si>
  <si>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</si>
  <si>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</si>
  <si>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</si>
  <si>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</si>
  <si>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</si>
  <si>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</si>
  <si>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</si>
  <si>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</si>
  <si>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</si>
  <si>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</si>
  <si>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</si>
  <si>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</si>
  <si>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</si>
  <si>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</si>
  <si>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</si>
  <si>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</si>
  <si>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</si>
  <si>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</si>
  <si>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</si>
  <si>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</si>
  <si>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</si>
  <si>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</si>
  <si>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</si>
  <si>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</si>
  <si>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</si>
  <si>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</si>
  <si>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</si>
  <si>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</si>
  <si>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</si>
  <si>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</si>
  <si>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</si>
  <si>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</si>
  <si>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</si>
  <si>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</si>
  <si>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</si>
  <si>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</si>
  <si>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</si>
  <si>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</si>
  <si>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</si>
  <si>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</si>
  <si>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</si>
  <si>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</si>
  <si>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</si>
  <si>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</si>
  <si>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</si>
  <si>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</si>
  <si>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</si>
  <si>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</si>
  <si>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</si>
  <si>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</si>
  <si>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</si>
  <si>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</si>
  <si>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</si>
  <si>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</si>
  <si>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</si>
  <si>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</si>
  <si>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</si>
  <si>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</si>
  <si>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</si>
  <si>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</si>
  <si>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</si>
  <si>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</si>
  <si>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</si>
  <si>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</si>
  <si>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</si>
  <si>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</si>
  <si>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</si>
  <si>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</si>
  <si>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</si>
  <si>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</si>
  <si>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</si>
  <si>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</si>
  <si>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</si>
  <si>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</si>
  <si>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</si>
  <si>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</si>
  <si>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</si>
  <si>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</si>
  <si>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</si>
  <si>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</si>
  <si>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</si>
  <si>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</si>
  <si>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</si>
  <si>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</si>
  <si>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</si>
  <si>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</si>
  <si>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</si>
  <si>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</si>
  <si>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</si>
  <si>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</si>
  <si>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</si>
  <si>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</si>
  <si>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</si>
  <si>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</si>
  <si>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</si>
  <si>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</si>
  <si>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</si>
  <si>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</si>
  <si>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</si>
  <si>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</si>
  <si>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</si>
  <si>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</si>
  <si>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</si>
  <si>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</si>
  <si>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</si>
  <si>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</si>
  <si>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</si>
  <si>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</si>
  <si>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</si>
  <si>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</si>
  <si>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</si>
  <si>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</si>
  <si>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</si>
  <si>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</si>
  <si>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</si>
  <si>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</si>
  <si>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</si>
  <si>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</si>
  <si>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</si>
  <si>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</si>
  <si>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</si>
  <si>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</si>
  <si>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</si>
  <si>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</si>
  <si>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</si>
  <si>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</si>
  <si>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</si>
  <si>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</si>
  <si>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</si>
  <si>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</si>
  <si>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</si>
  <si>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</si>
  <si>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</si>
  <si>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</si>
  <si>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</si>
  <si>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</si>
  <si>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</si>
  <si>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</si>
  <si>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</si>
  <si>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</si>
  <si>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</si>
  <si>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</si>
  <si>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</si>
  <si>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</si>
  <si>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</si>
  <si>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</si>
  <si>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</si>
  <si>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</si>
  <si>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</si>
  <si>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</si>
  <si>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</si>
  <si>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</si>
  <si>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</si>
  <si>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</si>
  <si>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</si>
  <si>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</si>
  <si>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</si>
  <si>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</si>
  <si>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</si>
  <si>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</si>
  <si>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</si>
  <si>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</si>
  <si>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</si>
  <si>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</si>
  <si>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</si>
  <si>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</si>
  <si>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</si>
  <si>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</si>
  <si>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</si>
  <si>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</si>
  <si>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</si>
  <si>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</si>
  <si>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</si>
  <si>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</si>
  <si>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</si>
  <si>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</si>
  <si>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</si>
  <si>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</si>
  <si>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</si>
  <si>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</si>
  <si>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</si>
  <si>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</si>
  <si>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</si>
  <si>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</si>
  <si>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</si>
  <si>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</si>
  <si>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</si>
  <si>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</si>
  <si>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</si>
  <si>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</si>
  <si>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</si>
  <si>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</si>
  <si>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</si>
  <si>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</si>
  <si>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</si>
  <si>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</si>
  <si>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</si>
  <si>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</si>
  <si>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</si>
  <si>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</si>
  <si>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</si>
  <si>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</si>
  <si>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</si>
  <si>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</si>
  <si>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</si>
  <si>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</si>
  <si>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</si>
  <si>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</si>
  <si>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</si>
  <si>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</si>
  <si>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</si>
  <si>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</si>
  <si>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</si>
  <si>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</si>
  <si>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</si>
  <si>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</si>
  <si>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</si>
  <si>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</si>
  <si>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</si>
  <si>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</si>
  <si>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</si>
  <si>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</si>
  <si>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</si>
  <si>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</si>
  <si>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</si>
  <si>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</si>
  <si>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</si>
  <si>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</si>
  <si>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</si>
  <si>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</si>
  <si>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</si>
  <si>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</si>
  <si>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</si>
  <si>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</si>
  <si>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</si>
  <si>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</si>
  <si>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</si>
  <si>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</si>
  <si>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</si>
  <si>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</si>
  <si>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</si>
  <si>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</si>
  <si>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</si>
  <si>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</si>
  <si>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</si>
  <si>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</si>
  <si>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</si>
  <si>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</si>
  <si>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</si>
  <si>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</si>
  <si>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</si>
  <si>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</si>
  <si>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</si>
  <si>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</si>
  <si>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</si>
  <si>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</si>
  <si>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</si>
  <si>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</si>
  <si>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</si>
  <si>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</si>
  <si>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</si>
  <si>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</si>
  <si>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</si>
  <si>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</si>
  <si>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</si>
  <si>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</si>
  <si>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</si>
  <si>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</si>
  <si>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</si>
  <si>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</si>
  <si>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</si>
  <si>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</si>
  <si>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</si>
  <si>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</si>
  <si>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</si>
  <si>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</si>
  <si>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</si>
  <si>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</si>
  <si>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</si>
  <si>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</si>
  <si>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</si>
  <si>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</si>
  <si>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</si>
  <si>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</si>
  <si>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</si>
  <si>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</si>
  <si>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</si>
  <si>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</si>
  <si>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</si>
  <si>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</si>
  <si>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</si>
  <si>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</si>
  <si>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</si>
  <si>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</si>
  <si>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</si>
  <si>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</si>
  <si>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</si>
  <si>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</si>
  <si>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</si>
  <si>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</si>
  <si>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</si>
  <si>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</si>
  <si>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</si>
  <si>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</si>
  <si>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</si>
  <si>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</si>
  <si>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</si>
  <si>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</si>
  <si>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</si>
  <si>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</si>
  <si>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</si>
  <si>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</si>
  <si>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</si>
  <si>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</si>
  <si>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</si>
  <si>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</si>
  <si>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</si>
  <si>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</si>
  <si>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</si>
  <si>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</si>
  <si>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</si>
  <si>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</si>
  <si>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</si>
  <si>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</si>
  <si>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</si>
  <si>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</si>
  <si>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</si>
  <si>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</si>
  <si>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</si>
  <si>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</si>
  <si>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</si>
  <si>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</si>
  <si>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</si>
  <si>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</si>
  <si>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</si>
  <si>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</si>
  <si>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</si>
  <si>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</si>
  <si>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</si>
  <si>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</si>
  <si>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</si>
  <si>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</si>
  <si>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</si>
  <si>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</si>
  <si>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</si>
  <si>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</si>
  <si>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</si>
  <si>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</si>
  <si>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</si>
  <si>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</si>
  <si>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</si>
  <si>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</si>
  <si>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</si>
  <si>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</si>
  <si>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</si>
  <si>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</si>
  <si>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</si>
  <si>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</si>
  <si>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</si>
  <si>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</si>
  <si>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</si>
  <si>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</si>
  <si>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</si>
  <si>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</si>
  <si>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</si>
  <si>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</si>
  <si>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</si>
  <si>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</si>
  <si>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</si>
  <si>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</si>
  <si>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</si>
  <si>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</si>
  <si>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</si>
  <si>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</si>
  <si>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</si>
  <si>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</si>
  <si>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</si>
  <si>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</si>
  <si>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</si>
  <si>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</si>
  <si>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</si>
  <si>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</si>
  <si>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</si>
  <si>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</si>
  <si>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</si>
  <si>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</si>
  <si>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</si>
  <si>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</si>
  <si>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</si>
  <si>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</si>
  <si>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</si>
  <si>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</si>
  <si>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</si>
  <si>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</si>
  <si>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</si>
  <si>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</si>
  <si>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</si>
  <si>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</si>
  <si>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</si>
  <si>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</si>
  <si>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</si>
  <si>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</si>
  <si>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</si>
  <si>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</si>
  <si>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</si>
  <si>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</si>
  <si>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</si>
  <si>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</si>
  <si>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</si>
  <si>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</si>
  <si>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</si>
  <si>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</si>
  <si>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</si>
  <si>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</si>
  <si>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</si>
  <si>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</si>
  <si>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</si>
  <si>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</si>
  <si>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</si>
  <si>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</si>
  <si>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</si>
  <si>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</si>
  <si>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</si>
  <si>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</si>
  <si>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</si>
  <si>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</si>
  <si>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</si>
  <si>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</si>
  <si>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</si>
  <si>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</si>
  <si>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</si>
  <si>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</si>
  <si>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</si>
  <si>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</si>
  <si>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</si>
  <si>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</si>
  <si>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</si>
  <si>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</si>
  <si>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</si>
  <si>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</si>
  <si>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</si>
  <si>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</si>
  <si>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</si>
  <si>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</si>
  <si>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</si>
  <si>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</si>
  <si>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</si>
  <si>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</si>
  <si>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</si>
  <si>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</si>
  <si>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</si>
  <si>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</si>
  <si>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</si>
  <si>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</si>
  <si>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</si>
  <si>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</si>
  <si>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</si>
  <si>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</si>
  <si>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</si>
  <si>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</si>
  <si>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</si>
  <si>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</si>
  <si>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</si>
  <si>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</si>
  <si>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</si>
  <si>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</si>
  <si>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</si>
  <si>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</si>
  <si>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</si>
  <si>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</si>
  <si>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</si>
  <si>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</si>
  <si>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</si>
  <si>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</si>
  <si>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</si>
  <si>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</si>
  <si>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</si>
  <si>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</si>
  <si>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</si>
  <si>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</si>
  <si>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</si>
  <si>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</si>
  <si>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</si>
  <si>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</si>
  <si>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</si>
  <si>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</si>
  <si>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</si>
  <si>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</si>
  <si>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</si>
  <si>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</si>
  <si>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</si>
  <si>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</si>
  <si>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</si>
  <si>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</si>
  <si>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</si>
  <si>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</si>
  <si>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</si>
  <si>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</si>
  <si>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</si>
  <si>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</si>
  <si>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</si>
  <si>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</si>
  <si>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</si>
  <si>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</si>
  <si>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</si>
  <si>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</si>
  <si>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</si>
  <si>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</si>
  <si>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</si>
  <si>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</si>
  <si>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</si>
  <si>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</si>
  <si>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</si>
  <si>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</si>
  <si>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</si>
  <si>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</si>
  <si>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</si>
  <si>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</si>
  <si>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</si>
  <si>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</si>
  <si>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</si>
  <si>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</si>
  <si>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</si>
  <si>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</si>
  <si>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</si>
  <si>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</si>
  <si>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</si>
  <si>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</si>
  <si>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</si>
  <si>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</si>
  <si>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</si>
  <si>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</si>
  <si>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</si>
  <si>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</si>
  <si>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</si>
  <si>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</si>
  <si>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</si>
  <si>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</si>
  <si>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</si>
  <si>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</si>
  <si>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</si>
  <si>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</si>
  <si>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</si>
  <si>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</si>
  <si>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</si>
  <si>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</si>
  <si>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</si>
  <si>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</si>
  <si>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</si>
  <si>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</si>
  <si>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</si>
  <si>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</si>
  <si>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</si>
  <si>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</si>
  <si>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</si>
  <si>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</si>
  <si>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</si>
  <si>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</si>
  <si>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</si>
  <si>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</si>
  <si>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</si>
  <si>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</si>
  <si>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</si>
  <si>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</si>
  <si>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</si>
  <si>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</si>
  <si>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</si>
  <si>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</si>
  <si>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</si>
  <si>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</si>
  <si>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</si>
  <si>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</si>
  <si>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</si>
  <si>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</si>
  <si>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</si>
  <si>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</si>
  <si>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</si>
  <si>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</si>
  <si>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</si>
  <si>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</si>
  <si>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</si>
  <si>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</si>
  <si>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</si>
  <si>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</si>
  <si>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</si>
  <si>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</si>
  <si>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</si>
  <si>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</si>
  <si>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</si>
  <si>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</si>
  <si>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</si>
  <si>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</si>
  <si>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</si>
  <si>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</si>
  <si>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</si>
  <si>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</si>
  <si>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</si>
  <si>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</si>
  <si>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</si>
  <si>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</si>
  <si>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</si>
  <si>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</si>
  <si>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</si>
  <si>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</si>
  <si>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</si>
  <si>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</si>
  <si>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</si>
  <si>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</si>
  <si>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</si>
  <si>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</si>
  <si>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</si>
  <si>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</si>
  <si>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</si>
  <si>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</si>
  <si>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</si>
  <si>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</si>
  <si>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</si>
  <si>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</si>
  <si>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</si>
  <si>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</si>
  <si>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</si>
  <si>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</si>
  <si>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</si>
  <si>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</si>
  <si>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</si>
  <si>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</si>
  <si>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</si>
  <si>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</si>
  <si>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</si>
  <si>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</si>
  <si>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</si>
  <si>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</si>
  <si>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</si>
  <si>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</si>
  <si>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</si>
  <si>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</si>
  <si>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</si>
  <si>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</si>
  <si>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</si>
  <si>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</si>
  <si>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</si>
  <si>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</si>
  <si>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</si>
  <si>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</si>
  <si>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</si>
  <si>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</si>
  <si>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</si>
  <si>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</si>
  <si>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</si>
  <si>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</si>
  <si>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</si>
  <si>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</si>
  <si>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</si>
  <si>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</si>
  <si>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</si>
  <si>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</si>
  <si>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</si>
  <si>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</si>
  <si>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</si>
  <si>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</si>
  <si>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</si>
  <si>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</si>
  <si>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</si>
  <si>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</si>
  <si>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</si>
  <si>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</si>
  <si>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</si>
  <si>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</si>
  <si>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</si>
  <si>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</si>
  <si>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</si>
  <si>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</si>
  <si>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</si>
  <si>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</si>
  <si>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</si>
  <si>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</si>
  <si>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</si>
  <si>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</si>
  <si>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</si>
  <si>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</si>
  <si>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</si>
  <si>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</si>
  <si>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</si>
  <si>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</si>
  <si>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</si>
  <si>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</si>
  <si>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</si>
  <si>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</si>
  <si>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</si>
  <si>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</si>
  <si>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</si>
  <si>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</si>
  <si>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</si>
  <si>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</si>
  <si>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</si>
  <si>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</si>
  <si>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</si>
  <si>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</si>
  <si>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</si>
  <si>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</si>
  <si>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</si>
  <si>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</si>
  <si>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</si>
  <si>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</si>
  <si>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</si>
  <si>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</si>
  <si>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</si>
  <si>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</si>
  <si>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</si>
  <si>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</si>
  <si>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</si>
  <si>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</si>
  <si>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</si>
  <si>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</si>
  <si>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</si>
  <si>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</si>
  <si>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</si>
  <si>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</si>
  <si>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</si>
  <si>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</si>
  <si>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</si>
  <si>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</si>
  <si>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</si>
  <si>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</si>
  <si>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</si>
  <si>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</si>
  <si>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</si>
  <si>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</si>
  <si>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</si>
  <si>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</si>
  <si>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</si>
  <si>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</si>
  <si>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</si>
  <si>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</si>
  <si>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</si>
  <si>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</si>
  <si>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</si>
  <si>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</si>
  <si>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</si>
  <si>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</si>
  <si>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</si>
  <si>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</si>
  <si>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</si>
  <si>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</si>
  <si>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</si>
  <si>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</si>
  <si>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</si>
  <si>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</si>
  <si>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</si>
  <si>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</si>
  <si>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</si>
  <si>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</si>
  <si>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</si>
  <si>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</si>
  <si>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</si>
  <si>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</si>
  <si>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</si>
  <si>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</si>
  <si>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</si>
  <si>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</si>
  <si>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</si>
  <si>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</si>
  <si>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</si>
  <si>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</si>
  <si>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</si>
  <si>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</si>
  <si>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</si>
  <si>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</si>
  <si>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</si>
  <si>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</si>
  <si>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</si>
  <si>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</si>
  <si>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</si>
  <si>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</si>
  <si>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</si>
  <si>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</si>
  <si>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</si>
  <si>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</si>
  <si>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</si>
  <si>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</si>
  <si>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</si>
  <si>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</si>
  <si>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</si>
  <si>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</si>
  <si>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</si>
  <si>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</si>
  <si>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</si>
  <si>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</si>
  <si>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</si>
  <si>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</si>
  <si>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</si>
  <si>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</si>
  <si>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</si>
  <si>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</si>
  <si>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</si>
  <si>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</si>
  <si>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</si>
  <si>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</si>
  <si>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</si>
  <si>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</si>
  <si>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</si>
  <si>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</si>
  <si>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</si>
  <si>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</si>
  <si>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</si>
  <si>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</si>
  <si>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</si>
  <si>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</si>
  <si>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</si>
  <si>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</si>
  <si>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</si>
  <si>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</si>
  <si>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</si>
  <si>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</si>
  <si>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</si>
  <si>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</si>
  <si>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</si>
  <si>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</si>
  <si>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</si>
  <si>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</si>
  <si>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</si>
  <si>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</si>
  <si>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</si>
  <si>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</si>
  <si>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</si>
  <si>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</si>
  <si>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</si>
  <si>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</si>
  <si>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</si>
  <si>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</si>
  <si>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</si>
  <si>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</si>
  <si>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</si>
  <si>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</si>
  <si>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</si>
  <si>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</si>
  <si>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</si>
  <si>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</si>
  <si>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</si>
  <si>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</si>
  <si>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</si>
  <si>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</si>
  <si>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</si>
  <si>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</si>
  <si>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</si>
  <si>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</si>
  <si>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</si>
  <si>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</si>
  <si>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</si>
  <si>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</si>
  <si>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</si>
  <si>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</si>
  <si>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</si>
  <si>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</si>
  <si>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</si>
  <si>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</si>
  <si>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</si>
  <si>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</si>
  <si>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</si>
  <si>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</si>
  <si>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</si>
  <si>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</si>
  <si>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</si>
  <si>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</si>
  <si>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</si>
  <si>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</si>
  <si>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</si>
  <si>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</si>
  <si>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</si>
  <si>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</si>
  <si>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</si>
  <si>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</si>
  <si>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</si>
  <si>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</si>
  <si>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</si>
  <si>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</si>
  <si>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</si>
  <si>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</si>
  <si>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</si>
  <si>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</si>
  <si>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</si>
  <si>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</si>
  <si>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</si>
  <si>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</si>
  <si>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</si>
  <si>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</si>
  <si>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</si>
  <si>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</si>
  <si>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</si>
  <si>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</si>
  <si>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</si>
  <si>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</si>
  <si>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</si>
  <si>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</si>
  <si>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</si>
  <si>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</si>
  <si>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</si>
  <si>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</si>
  <si>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</si>
  <si>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</si>
  <si>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</si>
  <si>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</si>
  <si>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</si>
  <si>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</si>
  <si>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</si>
  <si>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</si>
  <si>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</si>
  <si>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</si>
  <si>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</si>
  <si>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</si>
  <si>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</si>
  <si>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</si>
  <si>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</si>
  <si>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</si>
  <si>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</si>
  <si>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</si>
  <si>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</si>
  <si>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</si>
  <si>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</si>
  <si>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</si>
  <si>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</si>
  <si>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</si>
  <si>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</si>
  <si>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</si>
  <si>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</si>
  <si>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</si>
  <si>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</si>
  <si>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</si>
  <si>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</si>
  <si>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</si>
  <si>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</si>
  <si>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</si>
  <si>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</si>
  <si>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</si>
  <si>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</si>
  <si>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</si>
  <si>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</si>
  <si>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</si>
  <si>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</si>
  <si>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</si>
  <si>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</si>
  <si>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</si>
  <si>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</si>
  <si>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</si>
  <si>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</si>
  <si>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</si>
  <si>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</si>
  <si>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</si>
  <si>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</si>
  <si>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</si>
  <si>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</si>
  <si>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</si>
  <si>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</si>
  <si>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</si>
  <si>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</si>
  <si>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</si>
  <si>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</si>
  <si>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</si>
  <si>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</si>
  <si>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</si>
  <si>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</si>
  <si>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</si>
  <si>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</si>
  <si>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</si>
  <si>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</si>
  <si>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</si>
  <si>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</si>
  <si>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</si>
  <si>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</si>
  <si>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</si>
  <si>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</si>
  <si>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</si>
  <si>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</si>
  <si>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</si>
  <si>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</si>
  <si>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</si>
  <si>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</si>
  <si>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</si>
  <si>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</si>
  <si>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</si>
  <si>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</si>
  <si>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</si>
  <si>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</si>
  <si>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</si>
  <si>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</si>
  <si>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</si>
  <si>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</si>
  <si>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</si>
  <si>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</si>
  <si>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</si>
  <si>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</si>
  <si>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</si>
  <si>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</si>
  <si>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</si>
  <si>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</si>
  <si>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</si>
  <si>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</si>
  <si>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</si>
  <si>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</si>
  <si>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</si>
  <si>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</si>
  <si>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</si>
  <si>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</si>
  <si>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</si>
  <si>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</si>
  <si>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</si>
  <si>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</si>
  <si>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</si>
  <si>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</si>
  <si>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</si>
  <si>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</si>
  <si>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</si>
  <si>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</si>
  <si>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</si>
  <si>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</si>
  <si>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</si>
  <si>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</si>
  <si>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</si>
  <si>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</si>
  <si>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</si>
  <si>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</si>
  <si>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</si>
  <si>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</si>
  <si>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</si>
  <si>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</si>
  <si>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</si>
  <si>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</si>
  <si>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</si>
  <si>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</si>
  <si>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</si>
  <si>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</si>
  <si>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</si>
  <si>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</si>
  <si>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</si>
  <si>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</si>
  <si>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</si>
  <si>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</si>
  <si>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</si>
  <si>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</si>
  <si>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</si>
  <si>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</si>
  <si>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</si>
  <si>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</si>
  <si>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</si>
  <si>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</si>
  <si>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</si>
  <si>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</si>
  <si>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</si>
  <si>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</si>
  <si>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</si>
  <si>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</si>
  <si>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</si>
  <si>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</si>
  <si>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</si>
  <si>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</si>
  <si>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</si>
  <si>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</si>
  <si>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</si>
  <si>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</si>
  <si>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</si>
  <si>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</si>
  <si>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</si>
  <si>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</si>
  <si>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</si>
  <si>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</si>
  <si>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</si>
  <si>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</si>
  <si>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</si>
  <si>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</si>
  <si>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</si>
  <si>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</si>
  <si>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</si>
  <si>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</si>
  <si>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</si>
  <si>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</si>
  <si>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</si>
  <si>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</si>
  <si>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</si>
  <si>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</si>
  <si>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</si>
  <si>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</si>
  <si>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</si>
  <si>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</si>
  <si>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</si>
  <si>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</si>
  <si>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</si>
  <si>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</si>
  <si>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</si>
  <si>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</si>
  <si>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</si>
  <si>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</si>
  <si>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</si>
  <si>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</si>
  <si>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</si>
  <si>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</si>
  <si>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</si>
  <si>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</si>
  <si>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</si>
  <si>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</si>
  <si>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</si>
  <si>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</si>
  <si>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</si>
  <si>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</si>
  <si>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</si>
  <si>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</si>
  <si>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</si>
  <si>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</si>
  <si>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</si>
  <si>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</si>
  <si>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</si>
  <si>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</si>
  <si>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</si>
  <si>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</si>
  <si>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</si>
  <si>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</si>
  <si>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</si>
  <si>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</si>
  <si>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</si>
  <si>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</si>
  <si>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</si>
  <si>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</si>
  <si>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</si>
  <si>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</si>
  <si>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</si>
  <si>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</si>
  <si>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</si>
  <si>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</si>
  <si>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</si>
  <si>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</si>
  <si>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</si>
  <si>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</si>
  <si>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</si>
  <si>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</si>
  <si>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</si>
  <si>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</si>
  <si>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</si>
  <si>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</si>
  <si>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</si>
  <si>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</si>
  <si>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</si>
  <si>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</si>
  <si>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</si>
  <si>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</si>
  <si>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</si>
  <si>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</si>
  <si>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</si>
  <si>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</si>
  <si>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</si>
  <si>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</si>
  <si>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</si>
  <si>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</si>
  <si>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</si>
  <si>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</si>
  <si>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</si>
  <si>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</si>
  <si>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</si>
  <si>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</si>
  <si>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</si>
  <si>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</si>
  <si>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</si>
  <si>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</si>
  <si>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</si>
  <si>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</si>
  <si>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</si>
  <si>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</si>
  <si>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</si>
  <si>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</si>
  <si>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</si>
  <si>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</si>
  <si>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</si>
  <si>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</si>
  <si>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</si>
  <si>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</si>
  <si>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</si>
  <si>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</si>
  <si>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</si>
  <si>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</si>
  <si>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</si>
  <si>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</si>
  <si>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</si>
  <si>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</si>
  <si>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</si>
  <si>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</si>
  <si>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</si>
  <si>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</si>
  <si>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</si>
  <si>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</si>
  <si>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</si>
  <si>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</si>
  <si>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</si>
  <si>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</si>
  <si>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</si>
  <si>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</si>
  <si>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</si>
  <si>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</si>
  <si>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</si>
  <si>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</si>
  <si>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</si>
  <si>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</si>
  <si>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</si>
  <si>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</si>
  <si>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</si>
  <si>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</si>
  <si>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</si>
  <si>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</si>
  <si>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</si>
  <si>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</si>
  <si>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</si>
  <si>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</si>
  <si>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</si>
  <si>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</si>
  <si>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</si>
  <si>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</si>
  <si>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</si>
  <si>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</si>
  <si>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</si>
  <si>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</si>
  <si>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</si>
  <si>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</si>
  <si>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</si>
  <si>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</si>
  <si>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</si>
  <si>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</si>
  <si>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</si>
  <si>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</si>
  <si>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</si>
  <si>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</si>
  <si>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</si>
  <si>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</si>
  <si>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</si>
  <si>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</si>
  <si>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</si>
  <si>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</si>
  <si>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</si>
  <si>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</si>
  <si>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</si>
  <si>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</si>
  <si>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</si>
  <si>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</si>
  <si>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</si>
  <si>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</si>
  <si>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</si>
  <si>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</si>
  <si>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</si>
  <si>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</si>
  <si>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</si>
  <si>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</si>
  <si>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</si>
  <si>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</si>
  <si>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</si>
  <si>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</si>
  <si>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</si>
  <si>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</si>
  <si>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</si>
  <si>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</si>
  <si>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</si>
  <si>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</si>
  <si>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</si>
  <si>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</si>
  <si>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</si>
  <si>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</si>
  <si>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</si>
  <si>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</si>
  <si>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</si>
  <si>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</si>
  <si>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</si>
  <si>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</si>
  <si>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</si>
  <si>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</si>
  <si>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</si>
  <si>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</si>
  <si>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</si>
  <si>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</si>
  <si>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</si>
  <si>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</si>
  <si>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</si>
  <si>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</si>
  <si>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</si>
  <si>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</si>
  <si>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</si>
  <si>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</si>
  <si>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</si>
  <si>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</si>
  <si>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</si>
  <si>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</si>
  <si>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</si>
  <si>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</si>
  <si>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</si>
  <si>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</si>
  <si>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</si>
  <si>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</si>
  <si>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</si>
  <si>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</si>
  <si>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</si>
  <si>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</si>
  <si>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</si>
  <si>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</si>
  <si>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</si>
  <si>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</si>
  <si>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</si>
  <si>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</si>
  <si>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</si>
  <si>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</si>
  <si>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</si>
  <si>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</si>
  <si>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</si>
  <si>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</si>
  <si>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</si>
  <si>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</si>
  <si>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</si>
  <si>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</si>
  <si>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</si>
  <si>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</si>
  <si>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</si>
  <si>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</si>
  <si>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</si>
  <si>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</si>
  <si>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</si>
  <si>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</si>
  <si>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</si>
  <si>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</si>
  <si>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</si>
  <si>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</si>
  <si>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</si>
  <si>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</si>
  <si>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</si>
  <si>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</si>
  <si>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</si>
  <si>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</si>
  <si>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</si>
  <si>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</si>
  <si>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</si>
  <si>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</si>
  <si>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</si>
  <si>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</si>
  <si>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</si>
  <si>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</si>
  <si>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</si>
  <si>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</si>
  <si>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</si>
  <si>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</si>
  <si>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</si>
  <si>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</si>
  <si>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</si>
  <si>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</si>
  <si>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</si>
  <si>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</si>
  <si>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</si>
  <si>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</si>
  <si>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</si>
  <si>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</si>
  <si>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</si>
  <si>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</si>
  <si>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</si>
  <si>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</si>
  <si>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</si>
  <si>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</si>
  <si>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</si>
  <si>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</si>
  <si>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</si>
  <si>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</si>
  <si>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</si>
  <si>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</si>
  <si>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</si>
  <si>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</si>
  <si>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</si>
  <si>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</si>
  <si>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</si>
  <si>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</si>
  <si>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</si>
  <si>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</si>
  <si>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</si>
  <si>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</si>
  <si>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</si>
  <si>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</si>
  <si>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</si>
  <si>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</si>
  <si>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</si>
  <si>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</si>
  <si>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</si>
  <si>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</si>
  <si>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</si>
  <si>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</si>
  <si>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</si>
  <si>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</si>
  <si>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</si>
  <si>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</si>
  <si>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</si>
  <si>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</si>
  <si>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</si>
  <si>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</si>
  <si>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</si>
  <si>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</si>
  <si>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</si>
  <si>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</si>
  <si>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</si>
  <si>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</si>
  <si>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</si>
  <si>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</si>
  <si>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</si>
  <si>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</si>
  <si>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</si>
  <si>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</si>
  <si>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</si>
  <si>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</si>
  <si>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</si>
  <si>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</si>
  <si>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</si>
  <si>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</si>
  <si>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</si>
  <si>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</si>
  <si>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</si>
  <si>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</si>
  <si>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</si>
  <si>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</si>
  <si>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</si>
  <si>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</si>
  <si>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</si>
  <si>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</si>
  <si>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</si>
  <si>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</si>
  <si>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</si>
  <si>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</si>
  <si>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</si>
  <si>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</si>
  <si>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</si>
  <si>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</si>
  <si>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</si>
  <si>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</si>
  <si>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</si>
  <si>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</si>
  <si>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</si>
  <si>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</si>
  <si>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</si>
  <si>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</si>
  <si>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</si>
  <si>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</si>
  <si>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</si>
  <si>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</si>
  <si>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</si>
  <si>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</si>
  <si>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</si>
  <si>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</si>
  <si>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</si>
  <si>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</si>
  <si>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</si>
  <si>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</si>
  <si>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</si>
  <si>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</si>
  <si>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</si>
  <si>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</si>
  <si>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</si>
  <si>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</si>
  <si>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</si>
  <si>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</si>
  <si>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</si>
  <si>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</si>
  <si>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</si>
  <si>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</si>
  <si>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</si>
  <si>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</si>
  <si>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</si>
  <si>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</si>
  <si>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</si>
  <si>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</si>
  <si>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</si>
  <si>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</si>
  <si>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</si>
  <si>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</si>
  <si>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</si>
  <si>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</si>
  <si>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</si>
  <si>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</si>
  <si>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</si>
  <si>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</si>
  <si>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</si>
  <si>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</si>
  <si>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</si>
  <si>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</si>
  <si>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</si>
  <si>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</si>
  <si>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</si>
  <si>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</si>
  <si>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</si>
  <si>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</si>
  <si>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</si>
  <si>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</si>
  <si>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</si>
  <si>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</si>
  <si>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</si>
  <si>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</si>
  <si>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</si>
  <si>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</si>
  <si>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</si>
  <si>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</si>
  <si>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</si>
  <si>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</si>
  <si>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</si>
  <si>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</si>
  <si>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</si>
  <si>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</si>
  <si>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</si>
  <si>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</si>
  <si>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</si>
  <si>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</si>
  <si>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</si>
  <si>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</si>
  <si>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</si>
  <si>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</si>
  <si>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</si>
  <si>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</si>
  <si>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</si>
  <si>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</si>
  <si>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</si>
  <si>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</si>
  <si>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</si>
  <si>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</si>
  <si>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</si>
  <si>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</si>
  <si>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</si>
  <si>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</si>
  <si>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</si>
  <si>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</si>
  <si>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</si>
  <si>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</si>
  <si>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</si>
  <si>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</si>
  <si>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</si>
  <si>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</si>
  <si>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</si>
  <si>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</si>
  <si>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</si>
  <si>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</si>
  <si>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</si>
  <si>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</si>
  <si>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</si>
  <si>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</si>
  <si>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</si>
  <si>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</si>
  <si>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</si>
  <si>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</si>
  <si>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</si>
  <si>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</si>
  <si>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</si>
  <si>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</si>
  <si>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</si>
  <si>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</si>
  <si>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</si>
  <si>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</si>
  <si>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</si>
  <si>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</si>
  <si>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</si>
  <si>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</si>
  <si>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</si>
  <si>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</si>
  <si>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</si>
  <si>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</si>
  <si>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</si>
  <si>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</si>
  <si>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</si>
  <si>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</si>
  <si>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</si>
  <si>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</si>
  <si>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</si>
  <si>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</si>
  <si>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</si>
  <si>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</si>
  <si>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</si>
  <si>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</si>
  <si>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</si>
  <si>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</si>
  <si>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</si>
  <si>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</si>
  <si>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</si>
  <si>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</si>
  <si>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</si>
  <si>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</si>
  <si>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</si>
  <si>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</si>
  <si>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</si>
  <si>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</si>
  <si>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</si>
  <si>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</si>
  <si>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</si>
  <si>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</si>
  <si>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</si>
  <si>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</si>
  <si>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</si>
  <si>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</si>
  <si>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</si>
  <si>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</si>
  <si>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</si>
  <si>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</si>
  <si>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</si>
  <si>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</si>
  <si>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</si>
  <si>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</si>
  <si>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</si>
  <si>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</si>
  <si>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</si>
  <si>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</si>
  <si>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</si>
  <si>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</si>
  <si>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</si>
  <si>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</si>
  <si>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</si>
  <si>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</si>
  <si>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</si>
  <si>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</si>
  <si>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</si>
  <si>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</si>
  <si>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</si>
  <si>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</si>
  <si>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</si>
  <si>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</si>
  <si>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</si>
  <si>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</si>
  <si>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</si>
  <si>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</si>
  <si>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</si>
  <si>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</si>
  <si>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</si>
  <si>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</si>
  <si>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</si>
  <si>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</si>
  <si>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</si>
  <si>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</si>
  <si>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</si>
  <si>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</si>
  <si>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</si>
  <si>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</si>
  <si>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</si>
  <si>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</si>
  <si>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</si>
  <si>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</si>
  <si>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</si>
  <si>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</si>
  <si>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</si>
  <si>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</si>
  <si>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</si>
  <si>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</si>
  <si>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</si>
  <si>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</si>
  <si>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</si>
  <si>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</si>
  <si>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</si>
  <si>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</si>
  <si>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</si>
  <si>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</si>
  <si>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</si>
  <si>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</si>
  <si>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</si>
  <si>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</si>
  <si>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</si>
  <si>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</si>
  <si>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</si>
  <si>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</si>
  <si>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</si>
  <si>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</si>
  <si>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</si>
  <si>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</si>
  <si>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</si>
  <si>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</si>
  <si>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</si>
  <si>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</si>
  <si>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</si>
  <si>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</si>
  <si>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</si>
  <si>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</si>
  <si>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</si>
  <si>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</si>
  <si>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</si>
  <si>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</si>
  <si>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</si>
  <si>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</si>
  <si>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</si>
  <si>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</si>
  <si>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</si>
  <si>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</si>
  <si>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</si>
  <si>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</si>
  <si>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</si>
  <si>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</si>
  <si>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</si>
  <si>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</si>
  <si>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</si>
  <si>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</si>
  <si>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</si>
  <si>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</si>
  <si>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</si>
  <si>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</si>
  <si>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</si>
  <si>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</si>
  <si>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</si>
  <si>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</si>
  <si>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</si>
  <si>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</si>
  <si>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</si>
  <si>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</si>
  <si>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</si>
  <si>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</si>
  <si>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</si>
  <si>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</si>
  <si>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</si>
  <si>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</si>
  <si>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</si>
  <si>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</si>
  <si>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</si>
  <si>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</si>
  <si>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</si>
  <si>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</si>
  <si>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</si>
  <si>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</si>
  <si>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</si>
  <si>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</si>
  <si>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</si>
  <si>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</si>
  <si>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</si>
  <si>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</si>
  <si>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</si>
  <si>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</si>
  <si>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</si>
  <si>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</si>
  <si>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</si>
  <si>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</si>
  <si>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</si>
  <si>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</si>
  <si>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</si>
  <si>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</si>
  <si>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</si>
  <si>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</si>
  <si>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</si>
  <si>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</si>
  <si>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</si>
  <si>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</si>
  <si>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</si>
  <si>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</si>
  <si>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</si>
  <si>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</si>
  <si>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</si>
  <si>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</si>
  <si>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</si>
  <si>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</si>
  <si>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</si>
  <si>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</si>
  <si>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</si>
  <si>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</si>
  <si>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</si>
  <si>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</si>
  <si>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</si>
  <si>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</si>
  <si>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</si>
  <si>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</si>
  <si>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</si>
  <si>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</si>
  <si>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</si>
  <si>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</si>
  <si>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</si>
  <si>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</si>
  <si>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</si>
  <si>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</si>
  <si>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</si>
  <si>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</si>
  <si>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</si>
  <si>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</si>
  <si>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</si>
  <si>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</si>
  <si>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</si>
  <si>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</si>
  <si>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</si>
  <si>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</si>
  <si>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</si>
  <si>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</si>
  <si>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</si>
  <si>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</si>
  <si>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</si>
  <si>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</si>
  <si>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</si>
  <si>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</si>
  <si>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</si>
  <si>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</si>
  <si>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</si>
  <si>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</si>
  <si>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</si>
  <si>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</si>
  <si>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</si>
  <si>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</si>
  <si>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</si>
  <si>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</si>
  <si>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</si>
  <si>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</si>
  <si>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</si>
  <si>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</si>
  <si>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</si>
  <si>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</si>
  <si>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</si>
  <si>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</si>
  <si>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</si>
  <si>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</si>
  <si>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</si>
  <si>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</si>
  <si>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</si>
  <si>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</si>
  <si>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</si>
  <si>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</si>
  <si>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</si>
  <si>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</si>
  <si>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</si>
  <si>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</si>
  <si>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</si>
  <si>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</si>
  <si>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</si>
  <si>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</si>
  <si>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</si>
  <si>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</si>
  <si>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</si>
  <si>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</si>
  <si>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</si>
  <si>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</si>
  <si>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</si>
  <si>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</si>
  <si>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</si>
  <si>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</si>
  <si>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</si>
  <si>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</si>
  <si>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</si>
  <si>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</si>
  <si>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</si>
  <si>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</si>
  <si>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</si>
  <si>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</si>
  <si>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</si>
  <si>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</si>
  <si>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</si>
  <si>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</si>
  <si>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</si>
  <si>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</si>
  <si>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</si>
  <si>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</si>
  <si>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</si>
  <si>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</si>
  <si>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</si>
  <si>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</si>
  <si>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</si>
  <si>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</si>
  <si>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</si>
  <si>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</si>
  <si>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</si>
  <si>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</si>
  <si>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</si>
  <si>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</si>
  <si>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</si>
  <si>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</si>
  <si>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</si>
  <si>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</si>
  <si>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</si>
  <si>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</si>
  <si>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</si>
  <si>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</si>
  <si>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</si>
  <si>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</si>
  <si>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</si>
  <si>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</si>
  <si>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</si>
  <si>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</si>
  <si>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</si>
  <si>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</si>
  <si>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</si>
  <si>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</si>
  <si>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</si>
  <si>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</si>
  <si>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</si>
  <si>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</si>
  <si>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</si>
  <si>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</si>
  <si>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</si>
  <si>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</si>
  <si>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</si>
  <si>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</si>
  <si>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</si>
  <si>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</si>
  <si>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</si>
  <si>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</si>
  <si>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</si>
  <si>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</si>
  <si>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</si>
  <si>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</si>
  <si>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</si>
  <si>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</si>
  <si>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</si>
  <si>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</si>
  <si>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</si>
  <si>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</si>
  <si>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</si>
  <si>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</si>
  <si>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</si>
  <si>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</si>
  <si>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</si>
  <si>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</si>
  <si>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</si>
  <si>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</si>
  <si>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</si>
  <si>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</si>
  <si>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</si>
  <si>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</si>
  <si>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</si>
  <si>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</si>
  <si>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</si>
  <si>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</si>
  <si>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</si>
  <si>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</si>
  <si>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</si>
  <si>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</si>
  <si>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</si>
  <si>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</si>
  <si>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</si>
  <si>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</si>
  <si>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</si>
  <si>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</si>
  <si>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</si>
  <si>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</si>
  <si>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</si>
  <si>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</si>
  <si>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</si>
  <si>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</si>
  <si>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</si>
  <si>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</si>
  <si>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</si>
  <si>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</si>
  <si>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</si>
  <si>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</si>
  <si>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</si>
  <si>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</si>
  <si>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</si>
  <si>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</si>
  <si>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</si>
  <si>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</si>
  <si>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</si>
  <si>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</si>
  <si>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</si>
  <si>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</si>
  <si>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</si>
  <si>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</si>
  <si>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</si>
  <si>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</si>
  <si>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</si>
  <si>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</si>
  <si>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</si>
  <si>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</si>
  <si>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</si>
  <si>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</si>
  <si>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</si>
  <si>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</si>
  <si>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</si>
  <si>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</si>
  <si>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</si>
  <si>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</si>
  <si>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</si>
  <si>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</si>
  <si>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</si>
  <si>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</si>
  <si>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</si>
  <si>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</si>
  <si>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</si>
  <si>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</si>
  <si>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</si>
  <si>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</si>
  <si>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</si>
  <si>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</si>
  <si>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</si>
  <si>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</si>
  <si>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</si>
  <si>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</si>
  <si>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</si>
  <si>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</si>
  <si>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</si>
  <si>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</si>
  <si>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</si>
  <si>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</si>
  <si>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</si>
  <si>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</si>
  <si>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</si>
  <si>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</si>
  <si>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</si>
  <si>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</si>
  <si>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</si>
  <si>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</si>
  <si>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</si>
  <si>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</si>
  <si>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</si>
  <si>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</si>
  <si>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</si>
  <si>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</si>
  <si>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</si>
  <si>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</si>
  <si>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</si>
  <si>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</si>
  <si>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</si>
  <si>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</si>
  <si>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</si>
  <si>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</si>
  <si>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</si>
  <si>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</si>
  <si>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</si>
  <si>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</si>
  <si>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</si>
  <si>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</si>
  <si>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</si>
  <si>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</si>
  <si>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</si>
  <si>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</si>
  <si>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</si>
  <si>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</si>
  <si>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</si>
  <si>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</si>
  <si>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</si>
  <si>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</si>
  <si>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</si>
  <si>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</si>
  <si>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</si>
  <si>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</si>
  <si>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</si>
  <si>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</si>
  <si>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</si>
  <si>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</si>
  <si>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</si>
  <si>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</si>
  <si>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</si>
  <si>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</si>
  <si>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</si>
  <si>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</si>
  <si>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</si>
  <si>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</si>
  <si>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</si>
  <si>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</si>
  <si>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</si>
  <si>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</si>
  <si>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</si>
  <si>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</si>
  <si>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</si>
  <si>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</si>
  <si>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</si>
  <si>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</si>
  <si>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</si>
  <si>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</si>
  <si>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</si>
  <si>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</si>
  <si>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</si>
  <si>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</si>
  <si>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</si>
  <si>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</si>
  <si>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</si>
  <si>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</si>
  <si>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</si>
  <si>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</si>
  <si>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</si>
  <si>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</si>
  <si>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</si>
  <si>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</si>
  <si>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</si>
  <si>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</si>
  <si>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</si>
  <si>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</si>
  <si>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</si>
  <si>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</si>
  <si>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</si>
  <si>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</si>
  <si>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</si>
  <si>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</si>
  <si>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</si>
  <si>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</si>
  <si>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</si>
  <si>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</si>
  <si>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</si>
  <si>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</si>
  <si>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</si>
  <si>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</si>
  <si>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</si>
  <si>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</si>
  <si>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</si>
  <si>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</si>
  <si>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</si>
  <si>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</si>
  <si>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</si>
  <si>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</si>
  <si>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</si>
  <si>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</si>
  <si>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</si>
  <si>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</si>
  <si>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</si>
  <si>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</si>
  <si>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</si>
  <si>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</si>
  <si>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</si>
  <si>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</si>
  <si>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</si>
  <si>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</si>
  <si>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</si>
  <si>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</si>
  <si>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</si>
  <si>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</si>
  <si>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</si>
  <si>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</si>
  <si>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</si>
  <si>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</si>
  <si>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</si>
  <si>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</si>
  <si>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</si>
  <si>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</si>
  <si>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</si>
  <si>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</si>
  <si>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</si>
  <si>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</si>
  <si>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</si>
  <si>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</si>
  <si>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</si>
  <si>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</si>
  <si>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</si>
  <si>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</si>
  <si>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</si>
  <si>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</si>
  <si>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</si>
  <si>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</si>
  <si>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</si>
  <si>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</si>
  <si>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</si>
  <si>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</si>
  <si>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</si>
  <si>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</si>
  <si>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</si>
  <si>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</si>
  <si>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</si>
  <si>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</si>
  <si>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</si>
  <si>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</si>
  <si>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</si>
  <si>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</si>
  <si>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</si>
  <si>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</si>
  <si>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</si>
  <si>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</si>
  <si>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</si>
  <si>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</si>
  <si>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</si>
  <si>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</si>
  <si>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</si>
  <si>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</si>
  <si>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</si>
  <si>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</si>
  <si>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</si>
  <si>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</si>
  <si>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</si>
  <si>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</si>
  <si>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</si>
  <si>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</si>
  <si>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</si>
  <si>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</si>
  <si>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</si>
  <si>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</si>
  <si>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</si>
  <si>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</si>
  <si>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</si>
  <si>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</si>
  <si>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</si>
  <si>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</si>
  <si>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</si>
  <si>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</si>
  <si>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</si>
  <si>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</si>
  <si>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</si>
  <si>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</si>
  <si>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</si>
  <si>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</si>
  <si>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</si>
  <si>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</si>
  <si>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</si>
  <si>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</si>
  <si>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</si>
  <si>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</si>
  <si>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</si>
  <si>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</si>
  <si>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</si>
  <si>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</si>
  <si>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</si>
  <si>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</si>
  <si>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</si>
  <si>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</si>
  <si>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</si>
  <si>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</si>
  <si>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</si>
  <si>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</si>
  <si>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</si>
  <si>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</si>
  <si>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</si>
  <si>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</si>
  <si>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</si>
  <si>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</si>
  <si>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</si>
  <si>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</si>
  <si>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</si>
  <si>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</si>
  <si>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</si>
  <si>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</si>
  <si>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</si>
  <si>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</si>
  <si>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</si>
  <si>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</si>
  <si>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</si>
  <si>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</si>
  <si>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</si>
  <si>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</si>
  <si>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</si>
  <si>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</si>
  <si>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</si>
  <si>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</si>
  <si>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</si>
  <si>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</si>
  <si>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</si>
  <si>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</si>
  <si>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</si>
  <si>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</si>
  <si>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</si>
  <si>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</si>
  <si>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</si>
  <si>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</si>
  <si>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</si>
  <si>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</si>
  <si>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</si>
  <si>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</si>
  <si>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</si>
  <si>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</si>
  <si>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</si>
  <si>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</si>
  <si>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</si>
  <si>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</si>
  <si>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</si>
  <si>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</si>
  <si>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</si>
  <si>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</si>
  <si>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</si>
  <si>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</si>
  <si>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</si>
  <si>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</si>
  <si>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</si>
  <si>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</si>
  <si>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</si>
  <si>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</si>
  <si>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</si>
  <si>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</si>
  <si>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</si>
  <si>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</si>
  <si>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</si>
  <si>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</si>
  <si>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</si>
  <si>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</si>
  <si>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</si>
  <si>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</si>
  <si>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</si>
  <si>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</si>
  <si>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</si>
  <si>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</si>
  <si>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</si>
  <si>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</si>
  <si>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</si>
  <si>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</si>
  <si>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</si>
  <si>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</si>
  <si>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</si>
  <si>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</si>
  <si>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</si>
  <si>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</si>
  <si>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</si>
  <si>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</si>
  <si>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</si>
  <si>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</si>
  <si>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</si>
  <si>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</si>
  <si>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</si>
  <si>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</si>
  <si>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</si>
  <si>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</si>
  <si>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</si>
  <si>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</si>
  <si>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</si>
  <si>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</si>
  <si>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</si>
  <si>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</si>
  <si>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</si>
  <si>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</si>
  <si>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</si>
  <si>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</si>
  <si>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</si>
  <si>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</si>
  <si>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</si>
  <si>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</si>
  <si>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</si>
  <si>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</si>
  <si>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</si>
  <si>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</si>
  <si>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</si>
  <si>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</si>
  <si>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</si>
  <si>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</si>
  <si>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</si>
  <si>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</si>
  <si>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</si>
  <si>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</si>
  <si>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</si>
  <si>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</si>
  <si>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</si>
  <si>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</si>
  <si>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</si>
  <si>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</si>
  <si>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</si>
  <si>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</si>
  <si>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</si>
  <si>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</si>
  <si>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</si>
  <si>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</si>
  <si>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</si>
  <si>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</si>
  <si>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</si>
  <si>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</si>
  <si>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</si>
  <si>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</si>
  <si>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</si>
  <si>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</si>
  <si>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</si>
  <si>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</si>
  <si>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</si>
  <si>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</si>
  <si>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</si>
  <si>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</si>
  <si>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</si>
  <si>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</si>
  <si>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</si>
  <si>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</si>
  <si>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</si>
  <si>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</si>
  <si>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</si>
  <si>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</si>
  <si>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</si>
  <si>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</si>
  <si>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</si>
  <si>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</si>
  <si>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</si>
  <si>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</si>
  <si>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</si>
  <si>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</si>
  <si>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</si>
  <si>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</si>
  <si>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</si>
  <si>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</si>
  <si>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</si>
  <si>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</si>
  <si>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</si>
  <si>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</si>
  <si>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</si>
  <si>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</si>
  <si>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</si>
  <si>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</si>
  <si>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</si>
  <si>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</si>
  <si>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</si>
  <si>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</si>
  <si>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</si>
  <si>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</si>
  <si>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</si>
  <si>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</si>
  <si>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</si>
  <si>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</si>
  <si>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</si>
  <si>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</si>
  <si>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</si>
  <si>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</si>
  <si>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</si>
  <si>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</si>
  <si>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</si>
  <si>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</si>
  <si>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</si>
  <si>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</si>
  <si>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</si>
  <si>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</si>
  <si>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</si>
  <si>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</si>
  <si>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</si>
  <si>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</si>
  <si>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</si>
  <si>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</si>
  <si>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</si>
  <si>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</si>
  <si>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</si>
  <si>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</si>
  <si>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</si>
  <si>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</si>
  <si>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</si>
  <si>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</si>
  <si>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</si>
  <si>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</si>
  <si>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</si>
  <si>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</si>
  <si>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</si>
  <si>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</si>
  <si>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</si>
  <si>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</si>
  <si>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</si>
  <si>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</si>
  <si>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</si>
  <si>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</si>
  <si>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</si>
  <si>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</si>
  <si>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</si>
  <si>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</si>
  <si>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</si>
  <si>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</si>
  <si>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</si>
  <si>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</si>
  <si>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</si>
  <si>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</si>
  <si>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</si>
  <si>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</si>
  <si>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</si>
  <si>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</si>
  <si>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</si>
  <si>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</si>
  <si>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</si>
  <si>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</si>
  <si>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</si>
  <si>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</si>
  <si>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</si>
  <si>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</si>
  <si>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</si>
  <si>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</si>
  <si>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</si>
  <si>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</si>
  <si>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</si>
  <si>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</si>
  <si>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</si>
  <si>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</si>
  <si>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</si>
  <si>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</si>
  <si>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</si>
  <si>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</si>
  <si>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</si>
  <si>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</si>
  <si>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</si>
  <si>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</si>
  <si>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</si>
  <si>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</si>
  <si>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</si>
  <si>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</si>
  <si>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</si>
  <si>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</si>
  <si>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</si>
  <si>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</si>
  <si>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</si>
  <si>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</si>
  <si>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</si>
  <si>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</si>
  <si>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</si>
  <si>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</si>
  <si>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</si>
  <si>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</si>
  <si>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</si>
  <si>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</si>
  <si>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</si>
  <si>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</si>
  <si>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</si>
  <si>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</si>
  <si>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</si>
  <si>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</si>
  <si>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</si>
  <si>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</si>
  <si>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</si>
  <si>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</si>
  <si>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</si>
  <si>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</si>
  <si>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</si>
  <si>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</si>
  <si>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</si>
  <si>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</si>
  <si>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</si>
  <si>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</si>
  <si>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</si>
  <si>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</si>
  <si>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</si>
  <si>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</si>
  <si>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</si>
  <si>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</si>
  <si>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</si>
  <si>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</si>
  <si>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</si>
  <si>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</si>
  <si>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</si>
  <si>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</si>
  <si>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</si>
  <si>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</si>
  <si>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</si>
  <si>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</si>
  <si>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</si>
  <si>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</si>
  <si>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</si>
  <si>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</si>
  <si>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</si>
  <si>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</si>
  <si>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</si>
  <si>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</si>
  <si>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</si>
  <si>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</si>
  <si>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</si>
  <si>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</si>
  <si>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</si>
  <si>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</si>
  <si>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</si>
  <si>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</si>
  <si>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</si>
  <si>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</si>
  <si>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</si>
  <si>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</si>
  <si>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</si>
  <si>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</si>
  <si>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</si>
  <si>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</si>
  <si>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</si>
  <si>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</si>
  <si>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</si>
  <si>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</si>
  <si>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</si>
  <si>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</si>
  <si>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</si>
  <si>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</si>
  <si>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</si>
  <si>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</si>
  <si>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</si>
  <si>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</si>
  <si>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</si>
  <si>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</si>
  <si>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</si>
  <si>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</si>
  <si>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</si>
  <si>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</si>
  <si>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</si>
  <si>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</si>
  <si>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</si>
  <si>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</si>
  <si>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</si>
  <si>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</si>
  <si>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</si>
  <si>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</si>
  <si>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</si>
  <si>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</si>
  <si>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</si>
  <si>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</si>
  <si>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</si>
  <si>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</si>
  <si>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</si>
  <si>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</si>
  <si>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</si>
  <si>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</si>
  <si>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</si>
  <si>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</si>
  <si>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</si>
  <si>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</si>
  <si>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</si>
  <si>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</si>
  <si>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</si>
  <si>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</si>
  <si>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</si>
  <si>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</si>
  <si>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</si>
  <si>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</si>
  <si>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</si>
  <si>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</si>
  <si>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</si>
  <si>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</si>
  <si>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</si>
  <si>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</si>
  <si>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</si>
  <si>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</si>
  <si>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</si>
  <si>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</si>
  <si>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</si>
  <si>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</si>
  <si>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</si>
  <si>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</si>
  <si>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</si>
  <si>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</si>
  <si>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</si>
  <si>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</si>
  <si>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</si>
  <si>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</si>
  <si>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</si>
  <si>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</si>
  <si>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</si>
  <si>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</si>
  <si>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</si>
  <si>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</si>
  <si>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</si>
  <si>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</si>
  <si>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</si>
  <si>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</si>
  <si>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</si>
  <si>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</si>
  <si>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</si>
  <si>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</si>
  <si>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</si>
  <si>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</si>
  <si>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</si>
  <si>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</si>
  <si>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</si>
  <si>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</si>
  <si>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</si>
  <si>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</si>
  <si>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</si>
  <si>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</si>
  <si>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</si>
  <si>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</si>
  <si>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</si>
  <si>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</si>
  <si>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</si>
  <si>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</si>
  <si>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</si>
  <si>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</si>
  <si>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</si>
  <si>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</si>
  <si>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</si>
  <si>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</si>
  <si>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</si>
  <si>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</si>
  <si>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</si>
  <si>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</si>
  <si>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</si>
  <si>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</si>
  <si>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</si>
  <si>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</si>
  <si>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</si>
  <si>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</si>
  <si>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</si>
  <si>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</si>
  <si>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</si>
  <si>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</si>
  <si>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</si>
  <si>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</si>
  <si>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</si>
  <si>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</si>
  <si>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</si>
  <si>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</si>
  <si>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</si>
  <si>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</si>
  <si>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</si>
  <si>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</si>
  <si>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</si>
  <si>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</si>
  <si>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</si>
  <si>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</si>
  <si>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</si>
  <si>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</si>
  <si>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</si>
  <si>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</si>
  <si>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</si>
  <si>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</si>
  <si>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</si>
  <si>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</si>
  <si>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</si>
  <si>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</si>
  <si>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</si>
  <si>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</si>
  <si>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</si>
  <si>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</si>
  <si>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</si>
  <si>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</si>
  <si>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</si>
  <si>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</si>
  <si>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</si>
  <si>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</si>
  <si>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</si>
  <si>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</si>
  <si>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</si>
  <si>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</si>
  <si>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</si>
  <si>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</si>
  <si>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</si>
  <si>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</si>
  <si>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</si>
  <si>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</si>
  <si>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</si>
  <si>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</si>
  <si>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</si>
  <si>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</si>
  <si>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</si>
  <si>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</si>
  <si>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</si>
  <si>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</si>
  <si>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</si>
  <si>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</si>
  <si>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</si>
  <si>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</si>
  <si>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</si>
  <si>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</si>
  <si>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</si>
  <si>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</si>
  <si>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</si>
  <si>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</si>
  <si>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</si>
  <si>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</si>
  <si>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</si>
  <si>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</si>
  <si>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</si>
  <si>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</si>
  <si>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</si>
  <si>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</si>
  <si>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</si>
  <si>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</si>
  <si>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</si>
  <si>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</si>
  <si>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</si>
  <si>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</si>
  <si>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</si>
  <si>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</si>
  <si>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</si>
  <si>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</si>
  <si>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</si>
  <si>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</si>
  <si>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</si>
  <si>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</si>
  <si>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</si>
  <si>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</si>
  <si>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</si>
  <si>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</si>
  <si>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</si>
  <si>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</si>
  <si>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</si>
  <si>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</si>
  <si>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</si>
  <si>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</si>
  <si>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</si>
  <si>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</si>
  <si>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</si>
  <si>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</si>
  <si>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</si>
  <si>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</si>
  <si>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</si>
  <si>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</si>
  <si>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</si>
  <si>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</si>
  <si>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</si>
  <si>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</si>
  <si>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</si>
  <si>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</si>
  <si>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</si>
  <si>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</si>
  <si>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</si>
  <si>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</si>
  <si>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</si>
  <si>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</si>
  <si>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</si>
  <si>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</si>
  <si>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</si>
  <si>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</si>
  <si>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</si>
  <si>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</si>
  <si>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</si>
  <si>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</si>
  <si>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</si>
  <si>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</si>
  <si>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</si>
  <si>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</si>
  <si>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</si>
  <si>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</si>
  <si>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</si>
  <si>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</si>
  <si>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</si>
  <si>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</si>
  <si>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</si>
  <si>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</si>
  <si>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</si>
  <si>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</si>
  <si>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</si>
  <si>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</si>
  <si>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</si>
  <si>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</si>
  <si>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</si>
  <si>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</si>
  <si>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</si>
  <si>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</si>
  <si>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</si>
  <si>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</si>
  <si>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</si>
  <si>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</si>
  <si>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</si>
  <si>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</si>
  <si>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</si>
  <si>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</si>
  <si>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</si>
  <si>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</si>
  <si>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</si>
  <si>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</si>
  <si>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</si>
  <si>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</si>
  <si>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</si>
  <si>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</si>
  <si>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</si>
  <si>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</si>
  <si>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</si>
  <si>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</si>
  <si>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</si>
  <si>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</si>
  <si>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</si>
  <si>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</si>
  <si>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</si>
  <si>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</si>
  <si>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</si>
  <si>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</si>
  <si>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</si>
  <si>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</si>
  <si>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</si>
  <si>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</si>
  <si>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</si>
  <si>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</si>
  <si>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</si>
  <si>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</si>
  <si>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</si>
  <si>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</si>
  <si>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</si>
  <si>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</si>
  <si>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</si>
  <si>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</si>
  <si>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</si>
  <si>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</si>
  <si>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</si>
  <si>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</si>
  <si>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</si>
  <si>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</si>
  <si>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</si>
  <si>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</si>
  <si>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</si>
  <si>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</si>
  <si>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</si>
  <si>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</si>
  <si>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</si>
  <si>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</si>
  <si>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</si>
  <si>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</si>
  <si>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</si>
  <si>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</si>
  <si>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</si>
  <si>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</si>
  <si>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</si>
  <si>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</si>
  <si>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</si>
  <si>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</si>
  <si>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</si>
  <si>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</si>
  <si>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</si>
  <si>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</si>
  <si>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</si>
  <si>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</si>
  <si>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</si>
  <si>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</si>
  <si>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</si>
  <si>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</si>
  <si>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</si>
  <si>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</si>
  <si>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</si>
  <si>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</si>
  <si>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</si>
  <si>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</si>
  <si>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</si>
  <si>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</si>
  <si>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</si>
  <si>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</si>
  <si>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</si>
  <si>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</si>
  <si>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</si>
  <si>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</si>
  <si>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</si>
  <si>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</si>
  <si>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</si>
  <si>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</si>
  <si>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</si>
  <si>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</si>
  <si>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</si>
  <si>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</si>
  <si>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</si>
  <si>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</si>
  <si>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</si>
  <si>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</si>
  <si>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</si>
  <si>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</si>
  <si>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</si>
  <si>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</si>
  <si>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</si>
  <si>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</si>
  <si>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</si>
  <si>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</si>
  <si>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</si>
  <si>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</si>
  <si>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</si>
  <si>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</si>
  <si>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</si>
  <si>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</si>
  <si>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</si>
  <si>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</si>
  <si>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</si>
  <si>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</si>
  <si>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</si>
  <si>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</si>
  <si>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</si>
  <si>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</si>
  <si>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</si>
  <si>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</si>
  <si>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</si>
  <si>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</si>
  <si>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</si>
  <si>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</si>
  <si>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</si>
  <si>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</si>
  <si>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</si>
  <si>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</si>
  <si>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</si>
  <si>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</si>
  <si>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</si>
  <si>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</si>
  <si>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</si>
  <si>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</si>
  <si>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</si>
  <si>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</si>
  <si>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</si>
  <si>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</si>
  <si>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</si>
  <si>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</si>
  <si>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</si>
  <si>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</si>
  <si>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</si>
  <si>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</si>
  <si>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</si>
  <si>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</si>
  <si>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</si>
  <si>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</si>
  <si>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</si>
  <si>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</si>
  <si>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</si>
  <si>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</si>
  <si>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</si>
  <si>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</si>
  <si>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</si>
  <si>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</si>
  <si>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</si>
  <si>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</si>
  <si>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</si>
  <si>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</si>
  <si>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</si>
  <si>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</si>
  <si>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</si>
  <si>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</si>
  <si>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</si>
  <si>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</si>
  <si>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</si>
  <si>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</si>
  <si>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</si>
  <si>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</si>
  <si>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</si>
  <si>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</si>
  <si>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</si>
  <si>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</si>
  <si>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</si>
  <si>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</si>
  <si>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</si>
  <si>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</si>
  <si>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</si>
  <si>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</si>
  <si>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</si>
  <si>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</si>
  <si>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</si>
  <si>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</si>
  <si>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</si>
  <si>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</si>
  <si>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</si>
  <si>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</si>
  <si>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</si>
  <si>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</si>
  <si>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</si>
  <si>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</si>
  <si>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</si>
  <si>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</si>
  <si>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</si>
  <si>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</si>
  <si>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</si>
  <si>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</si>
  <si>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</si>
  <si>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</si>
  <si>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</si>
  <si>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</si>
  <si>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</si>
  <si>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</si>
  <si>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</si>
  <si>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</si>
  <si>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</si>
  <si>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</si>
  <si>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</si>
  <si>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</si>
  <si>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</si>
  <si>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</si>
  <si>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</si>
  <si>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</si>
  <si>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</si>
  <si>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</si>
  <si>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</si>
  <si>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</si>
  <si>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</si>
  <si>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</si>
  <si>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</si>
  <si>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</si>
  <si>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</si>
  <si>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</si>
  <si>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</si>
  <si>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</si>
  <si>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</si>
  <si>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</si>
  <si>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</si>
  <si>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</si>
  <si>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</si>
  <si>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</si>
  <si>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</si>
  <si>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</si>
  <si>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</si>
  <si>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</si>
  <si>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</si>
  <si>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</si>
  <si>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</si>
  <si>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</si>
  <si>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</si>
  <si>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</si>
  <si>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</si>
  <si>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</si>
  <si>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</si>
  <si>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</si>
  <si>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</si>
  <si>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</si>
  <si>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</si>
  <si>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</si>
  <si>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</si>
  <si>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</si>
  <si>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</si>
  <si>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</si>
  <si>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</si>
  <si>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</si>
  <si>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</si>
  <si>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</si>
  <si>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</si>
  <si>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</si>
  <si>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</si>
  <si>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</si>
  <si>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</si>
  <si>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</si>
  <si>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</si>
  <si>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</si>
  <si>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</si>
  <si>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</si>
  <si>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</si>
  <si>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</si>
  <si>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</si>
  <si>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</si>
  <si>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</si>
  <si>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</si>
  <si>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</si>
  <si>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</si>
  <si>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</si>
  <si>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</si>
  <si>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</si>
  <si>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</si>
  <si>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</si>
  <si>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</si>
  <si>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</si>
  <si>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</si>
  <si>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</si>
  <si>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</si>
  <si>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</si>
  <si>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</si>
  <si>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</si>
  <si>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</si>
  <si>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</si>
  <si>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</si>
  <si>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</si>
  <si>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</si>
  <si>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</si>
  <si>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</si>
  <si>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</si>
  <si>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</si>
  <si>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</si>
  <si>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</si>
  <si>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</si>
  <si>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</si>
  <si>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</si>
  <si>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</si>
  <si>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</si>
  <si>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</si>
  <si>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</si>
  <si>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</si>
  <si>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</si>
  <si>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</si>
  <si>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</si>
  <si>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</si>
  <si>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</si>
  <si>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</si>
  <si>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</si>
  <si>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</si>
  <si>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</si>
  <si>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</si>
  <si>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</si>
  <si>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</si>
  <si>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</si>
  <si>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</si>
  <si>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</si>
  <si>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</si>
  <si>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</si>
  <si>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</si>
  <si>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</si>
  <si>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</si>
  <si>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</si>
  <si>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</si>
  <si>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</si>
  <si>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</si>
  <si>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</si>
  <si>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</si>
  <si>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</si>
  <si>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</si>
  <si>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</si>
  <si>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</si>
  <si>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</si>
  <si>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</si>
  <si>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</si>
  <si>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</si>
  <si>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</si>
  <si>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</si>
  <si>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</si>
  <si>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</si>
  <si>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</si>
  <si>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</si>
  <si>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</si>
  <si>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</si>
  <si>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</si>
  <si>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</si>
  <si>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</si>
  <si>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</si>
  <si>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</si>
  <si>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</si>
  <si>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</si>
  <si>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</si>
  <si>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</si>
  <si>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</si>
  <si>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</si>
  <si>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</si>
  <si>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</si>
  <si>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</si>
  <si>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</si>
  <si>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</si>
  <si>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</si>
  <si>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</si>
  <si>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</si>
  <si>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</si>
  <si>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</si>
  <si>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</si>
  <si>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</si>
  <si>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</si>
  <si>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</si>
  <si>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</si>
  <si>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</si>
  <si>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</si>
  <si>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</si>
  <si>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</si>
  <si>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</si>
  <si>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</si>
  <si>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</si>
  <si>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</si>
  <si>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</si>
  <si>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</si>
  <si>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</si>
  <si>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</si>
  <si>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</si>
  <si>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</si>
  <si>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</si>
  <si>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</si>
  <si>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</si>
  <si>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</si>
  <si>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</si>
  <si>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</si>
  <si>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</si>
  <si>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</si>
  <si>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</si>
  <si>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</si>
  <si>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</si>
  <si>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</si>
  <si>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</si>
  <si>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</si>
  <si>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</si>
  <si>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</si>
  <si>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</si>
  <si>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</si>
  <si>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</si>
  <si>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</si>
  <si>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</si>
  <si>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</si>
  <si>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</si>
  <si>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</si>
  <si>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</si>
  <si>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</si>
  <si>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</si>
  <si>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</si>
  <si>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</si>
  <si>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</si>
  <si>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</si>
  <si>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</si>
  <si>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</si>
  <si>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</si>
  <si>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</si>
  <si>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</si>
  <si>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</si>
  <si>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</si>
  <si>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</si>
  <si>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</si>
  <si>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</si>
  <si>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</si>
  <si>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</si>
  <si>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</si>
  <si>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</si>
  <si>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</si>
  <si>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</si>
  <si>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</si>
  <si>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</si>
  <si>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</si>
  <si>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</si>
  <si>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</si>
  <si>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</si>
  <si>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</si>
  <si>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</si>
  <si>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</si>
  <si>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</si>
  <si>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</si>
  <si>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</si>
  <si>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</si>
  <si>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</si>
  <si>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</si>
  <si>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</si>
  <si>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</si>
  <si>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</si>
  <si>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</si>
  <si>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</si>
  <si>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</si>
  <si>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</si>
  <si>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</si>
  <si>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</si>
  <si>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</si>
  <si>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</si>
  <si>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</si>
  <si>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</si>
  <si>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</si>
  <si>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</si>
  <si>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</si>
  <si>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</si>
  <si>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</si>
  <si>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</si>
  <si>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</si>
  <si>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</si>
  <si>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</si>
  <si>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</si>
  <si>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</si>
  <si>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</si>
  <si>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</si>
  <si>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</si>
  <si>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</si>
  <si>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</si>
  <si>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</si>
  <si>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</si>
  <si>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</si>
  <si>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</si>
  <si>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</si>
  <si>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</si>
  <si>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</si>
  <si>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</si>
  <si>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</si>
  <si>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</si>
  <si>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</si>
  <si>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</si>
  <si>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</si>
  <si>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</si>
  <si>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</si>
  <si>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</si>
  <si>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</si>
  <si>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</si>
  <si>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</si>
  <si>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</si>
  <si>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</si>
  <si>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</si>
  <si>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</si>
  <si>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</si>
  <si>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</si>
  <si>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</si>
  <si>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</si>
  <si>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</si>
  <si>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</si>
  <si>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</si>
  <si>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</si>
  <si>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</si>
  <si>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</si>
  <si>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</si>
  <si>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</si>
  <si>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</si>
  <si>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</si>
  <si>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</si>
  <si>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</si>
  <si>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</si>
  <si>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</si>
  <si>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</si>
  <si>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</si>
  <si>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</si>
  <si>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</si>
  <si>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</si>
  <si>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</si>
  <si>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</si>
  <si>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</si>
  <si>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</si>
  <si>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</si>
  <si>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</si>
  <si>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</si>
  <si>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</si>
  <si>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</si>
  <si>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</si>
  <si>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</si>
  <si>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</si>
  <si>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</si>
  <si>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</si>
  <si>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</si>
  <si>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</si>
  <si>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</si>
  <si>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</si>
  <si>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</si>
  <si>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</si>
  <si>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</si>
  <si>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</si>
  <si>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</si>
  <si>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</si>
  <si>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</si>
  <si>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</si>
  <si>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</si>
  <si>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</si>
  <si>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</si>
  <si>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</si>
  <si>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</si>
  <si>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</si>
  <si>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</si>
  <si>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</si>
  <si>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</si>
  <si>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</si>
  <si>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</si>
  <si>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</si>
  <si>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</si>
  <si>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</si>
  <si>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</si>
  <si>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</si>
  <si>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</si>
  <si>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</si>
  <si>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</si>
  <si>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</si>
  <si>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</si>
  <si>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</si>
  <si>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</si>
  <si>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</si>
  <si>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</si>
  <si>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</si>
  <si>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</si>
  <si>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</si>
  <si>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</si>
  <si>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</si>
  <si>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</si>
  <si>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</si>
  <si>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</si>
  <si>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</si>
  <si>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</si>
  <si>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</si>
  <si>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</si>
  <si>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</si>
  <si>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</si>
  <si>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</si>
  <si>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</si>
  <si>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</si>
  <si>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</si>
  <si>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</si>
  <si>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</si>
  <si>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</si>
  <si>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</si>
  <si>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</si>
  <si>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</si>
  <si>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</si>
  <si>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</si>
  <si>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</si>
  <si>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</si>
  <si>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</si>
  <si>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</si>
  <si>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</si>
  <si>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</si>
  <si>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</si>
  <si>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</si>
  <si>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</si>
  <si>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</si>
  <si>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</si>
  <si>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</si>
  <si>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</si>
  <si>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</si>
  <si>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</si>
  <si>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</si>
  <si>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</si>
  <si>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</si>
  <si>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</si>
  <si>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</si>
  <si>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</si>
  <si>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</si>
  <si>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</si>
  <si>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</si>
  <si>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</si>
  <si>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</si>
  <si>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</si>
  <si>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</si>
  <si>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</si>
  <si>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</si>
  <si>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</si>
  <si>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</si>
  <si>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</si>
  <si>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</si>
  <si>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</si>
  <si>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</si>
  <si>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</si>
  <si>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</si>
  <si>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</si>
  <si>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</si>
  <si>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</si>
  <si>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</si>
  <si>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</si>
  <si>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</si>
  <si>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</si>
  <si>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</si>
  <si>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</si>
  <si>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</si>
  <si>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</si>
  <si>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</si>
  <si>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</si>
  <si>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</si>
  <si>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</si>
  <si>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</si>
  <si>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</si>
  <si>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</si>
  <si>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</si>
  <si>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</si>
  <si>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</si>
  <si>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</si>
  <si>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</si>
  <si>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</si>
  <si>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</si>
  <si>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</si>
  <si>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</si>
  <si>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</si>
  <si>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</si>
  <si>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</si>
  <si>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</si>
  <si>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</si>
  <si>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</si>
  <si>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</si>
  <si>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</si>
  <si>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</si>
  <si>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</si>
  <si>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</si>
  <si>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</si>
  <si>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</si>
  <si>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</si>
  <si>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</si>
  <si>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</si>
  <si>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</si>
  <si>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</si>
  <si>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</si>
  <si>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</si>
  <si>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</si>
  <si>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</si>
  <si>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</si>
  <si>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</si>
  <si>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</si>
  <si>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</si>
  <si>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</si>
  <si>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</si>
  <si>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</si>
  <si>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</si>
  <si>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</si>
  <si>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</si>
  <si>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</si>
  <si>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</si>
  <si>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</si>
  <si>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</si>
  <si>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</si>
  <si>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</si>
  <si>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</si>
  <si>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</si>
  <si>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</si>
  <si>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</si>
  <si>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</si>
  <si>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</si>
  <si>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</si>
  <si>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</si>
  <si>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</si>
  <si>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</si>
  <si>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</si>
  <si>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</si>
  <si>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</si>
  <si>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</si>
  <si>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</si>
  <si>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</si>
  <si>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</si>
  <si>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</si>
  <si>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</si>
  <si>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</si>
  <si>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</si>
  <si>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</si>
  <si>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</si>
  <si>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</si>
  <si>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</si>
  <si>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</si>
  <si>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</si>
  <si>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</si>
  <si>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</si>
  <si>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</si>
  <si>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</si>
  <si>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</si>
  <si>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</si>
  <si>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</si>
  <si>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</si>
  <si>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</si>
  <si>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</si>
  <si>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</si>
  <si>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</si>
  <si>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</si>
  <si>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</si>
  <si>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</si>
  <si>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</si>
  <si>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</si>
  <si>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</si>
  <si>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</si>
  <si>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</si>
  <si>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</si>
  <si>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</si>
  <si>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</si>
  <si>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</si>
  <si>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</si>
  <si>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</si>
  <si>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</si>
  <si>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</si>
  <si>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</si>
  <si>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</si>
  <si>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</si>
  <si>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</si>
  <si>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</si>
  <si>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</si>
  <si>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</si>
  <si>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</si>
  <si>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</si>
  <si>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</si>
  <si>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</si>
  <si>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</si>
  <si>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</si>
  <si>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</si>
  <si>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</si>
  <si>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</si>
  <si>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</si>
  <si>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</si>
  <si>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</si>
  <si>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</si>
  <si>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</si>
  <si>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</si>
  <si>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</si>
  <si>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</si>
  <si>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</si>
  <si>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</si>
  <si>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</si>
  <si>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</si>
  <si>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</si>
  <si>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</si>
  <si>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</si>
  <si>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</si>
  <si>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</si>
  <si>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</si>
  <si>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</si>
  <si>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</si>
  <si>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</si>
  <si>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</si>
  <si>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</si>
  <si>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</si>
  <si>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</si>
  <si>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</si>
  <si>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</si>
  <si>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</si>
  <si>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</si>
  <si>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</si>
  <si>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</si>
  <si>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</si>
  <si>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</si>
  <si>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</si>
  <si>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</si>
  <si>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</si>
  <si>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</si>
  <si>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</si>
  <si>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</si>
  <si>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</si>
  <si>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</si>
  <si>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</si>
  <si>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</si>
  <si>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</si>
  <si>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</si>
  <si>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</si>
  <si>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</si>
  <si>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</si>
  <si>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</si>
  <si>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</si>
  <si>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</si>
  <si>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</si>
  <si>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</si>
  <si>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</si>
  <si>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</si>
  <si>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</si>
  <si>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</si>
  <si>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</si>
  <si>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</si>
  <si>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</si>
  <si>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</si>
  <si>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</si>
  <si>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</si>
  <si>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</si>
  <si>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</si>
  <si>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</si>
  <si>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</si>
  <si>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</si>
  <si>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</si>
  <si>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</si>
  <si>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</si>
  <si>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</si>
  <si>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</si>
  <si>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</si>
  <si>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</si>
  <si>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</si>
  <si>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</si>
  <si>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</si>
  <si>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</si>
  <si>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</si>
  <si>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</si>
  <si>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</si>
  <si>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</si>
  <si>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</si>
  <si>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</si>
  <si>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</si>
  <si>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</si>
  <si>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</si>
  <si>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</si>
  <si>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</si>
  <si>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</si>
  <si>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</si>
  <si>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</si>
  <si>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</si>
  <si>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</si>
  <si>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</si>
  <si>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</si>
  <si>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</si>
  <si>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</si>
  <si>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</si>
  <si>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</si>
  <si>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</si>
  <si>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</si>
  <si>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</si>
  <si>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</si>
  <si>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</si>
  <si>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</si>
  <si>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</si>
  <si>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</si>
  <si>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</si>
  <si>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</si>
  <si>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</si>
  <si>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</si>
  <si>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</si>
  <si>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</si>
  <si>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</si>
  <si>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</si>
  <si>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</si>
  <si>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</si>
  <si>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</si>
  <si>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</si>
  <si>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</si>
  <si>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</si>
  <si>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</si>
  <si>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</si>
  <si>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</si>
  <si>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</si>
  <si>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</si>
  <si>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</si>
  <si>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</si>
  <si>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</si>
  <si>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</si>
  <si>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</si>
  <si>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</si>
  <si>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</si>
  <si>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</si>
  <si>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</si>
  <si>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</si>
  <si>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</si>
  <si>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</si>
  <si>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</si>
  <si>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</si>
  <si>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</si>
  <si>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</si>
  <si>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</si>
  <si>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</si>
  <si>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</si>
  <si>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</si>
  <si>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</si>
  <si>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</si>
  <si>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</si>
  <si>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</si>
  <si>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</si>
  <si>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</si>
  <si>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</si>
  <si>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</si>
  <si>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</si>
  <si>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</si>
  <si>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</si>
  <si>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</si>
  <si>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</si>
  <si>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</si>
  <si>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</si>
  <si>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</si>
  <si>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</si>
  <si>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</si>
  <si>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</si>
  <si>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</si>
  <si>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</si>
  <si>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</si>
  <si>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</si>
  <si>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</si>
  <si>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</si>
  <si>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</si>
  <si>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</si>
  <si>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</si>
  <si>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</si>
  <si>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</si>
  <si>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</si>
  <si>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</si>
  <si>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</si>
  <si>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</si>
  <si>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</si>
  <si>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</si>
  <si>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</si>
  <si>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</si>
  <si>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</si>
  <si>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</si>
  <si>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</si>
  <si>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</si>
  <si>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</si>
  <si>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</si>
  <si>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</si>
  <si>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</si>
  <si>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</si>
  <si>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</si>
  <si>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</si>
  <si>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</si>
  <si>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</si>
  <si>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</si>
  <si>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</si>
  <si>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</si>
  <si>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</si>
  <si>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</si>
  <si>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</si>
  <si>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</si>
  <si>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</si>
  <si>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</si>
  <si>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</si>
  <si>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</si>
  <si>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</si>
  <si>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</si>
  <si>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</si>
  <si>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</si>
  <si>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</si>
  <si>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</si>
  <si>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</si>
  <si>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</si>
  <si>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</si>
  <si>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</si>
  <si>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</si>
  <si>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</si>
  <si>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</si>
  <si>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</si>
  <si>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</si>
  <si>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</si>
  <si>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</si>
  <si>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</si>
  <si>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</si>
  <si>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</si>
  <si>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</si>
  <si>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</si>
  <si>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</si>
  <si>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</si>
  <si>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</si>
  <si>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</si>
  <si>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</si>
  <si>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</si>
  <si>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</si>
  <si>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</si>
  <si>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</si>
  <si>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</si>
  <si>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</si>
  <si>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</si>
  <si>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</si>
  <si>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</si>
  <si>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</si>
  <si>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</si>
  <si>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</si>
  <si>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</si>
  <si>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</si>
  <si>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</si>
  <si>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</si>
  <si>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</si>
  <si>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</si>
  <si>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</si>
  <si>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</si>
  <si>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</si>
  <si>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</si>
  <si>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</si>
  <si>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</si>
  <si>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</si>
  <si>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</si>
  <si>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</si>
  <si>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</si>
  <si>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</si>
  <si>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</si>
  <si>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</si>
  <si>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</si>
  <si>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</si>
  <si>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</si>
  <si>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</si>
  <si>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</si>
  <si>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</si>
  <si>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</si>
  <si>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</si>
  <si>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</si>
  <si>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</si>
  <si>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</si>
  <si>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</si>
  <si>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</si>
  <si>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</si>
  <si>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</si>
  <si>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</si>
  <si>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</si>
  <si>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</si>
  <si>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</si>
  <si>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</si>
  <si>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</si>
  <si>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</si>
  <si>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</si>
  <si>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</si>
  <si>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</si>
  <si>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</si>
  <si>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</si>
  <si>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</si>
  <si>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</si>
  <si>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</si>
  <si>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</si>
  <si>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</si>
  <si>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</si>
  <si>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</si>
  <si>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</si>
  <si>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</si>
  <si>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</si>
  <si>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</si>
  <si>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</si>
  <si>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</si>
  <si>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</si>
  <si>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</si>
  <si>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</si>
  <si>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</si>
  <si>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</si>
  <si>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</si>
  <si>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</si>
  <si>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</si>
  <si>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</si>
  <si>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</si>
  <si>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</si>
  <si>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</si>
  <si>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</si>
  <si>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</si>
  <si>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</si>
  <si>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</si>
  <si>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</si>
  <si>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</si>
  <si>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</si>
  <si>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</si>
  <si>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</si>
  <si>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</si>
  <si>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</si>
  <si>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</si>
  <si>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</si>
  <si>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</si>
  <si>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</si>
  <si>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</si>
  <si>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</si>
  <si>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</si>
  <si>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</si>
  <si>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</si>
  <si>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</si>
  <si>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</si>
  <si>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</si>
  <si>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</si>
  <si>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</si>
  <si>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</si>
  <si>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</si>
  <si>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</si>
  <si>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</si>
  <si>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</si>
  <si>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</si>
  <si>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</si>
  <si>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</si>
  <si>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</si>
  <si>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</si>
  <si>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</si>
  <si>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</si>
  <si>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</si>
  <si>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</si>
  <si>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</si>
  <si>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</si>
  <si>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</si>
  <si>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</si>
  <si>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</si>
  <si>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</si>
  <si>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</si>
  <si>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</si>
  <si>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</si>
  <si>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</si>
  <si>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</si>
  <si>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</si>
  <si>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</si>
  <si>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</si>
  <si>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</si>
  <si>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</si>
  <si>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</si>
  <si>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</si>
  <si>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</si>
  <si>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</si>
  <si>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</si>
  <si>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</si>
  <si>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</si>
  <si>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</si>
  <si>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</si>
  <si>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</si>
  <si>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</si>
  <si>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</si>
  <si>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</si>
  <si>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</si>
  <si>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</si>
  <si>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</si>
  <si>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</si>
  <si>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</si>
  <si>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</si>
  <si>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</si>
  <si>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</si>
  <si>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</si>
  <si>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</si>
  <si>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</si>
  <si>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</si>
  <si>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</si>
  <si>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</si>
  <si>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</si>
  <si>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</si>
  <si>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</si>
  <si>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</si>
  <si>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</si>
  <si>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</si>
  <si>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</si>
  <si>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</si>
  <si>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</si>
  <si>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</si>
  <si>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</si>
  <si>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</si>
  <si>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</si>
  <si>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</si>
  <si>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</si>
  <si>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</si>
  <si>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</si>
  <si>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</si>
  <si>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</si>
  <si>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</si>
  <si>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</si>
  <si>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</si>
  <si>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</si>
  <si>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</si>
  <si>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</si>
  <si>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</si>
  <si>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</si>
  <si>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</si>
  <si>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</si>
  <si>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</si>
  <si>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</si>
  <si>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</si>
  <si>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</si>
  <si>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</si>
  <si>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</si>
  <si>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</si>
  <si>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</si>
  <si>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</si>
  <si>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</si>
  <si>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</si>
  <si>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</si>
  <si>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</si>
  <si>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</si>
  <si>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</si>
  <si>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</si>
  <si>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</si>
  <si>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</si>
  <si>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</si>
  <si>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</si>
  <si>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</si>
  <si>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</si>
  <si>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</si>
  <si>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</si>
  <si>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</si>
  <si>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</si>
  <si>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</si>
  <si>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</si>
  <si>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</si>
  <si>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</si>
  <si>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</si>
  <si>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</si>
  <si>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</si>
  <si>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</si>
  <si>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</si>
  <si>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</si>
  <si>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</si>
  <si>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</si>
  <si>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</si>
  <si>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</si>
  <si>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</si>
  <si>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</si>
  <si>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</si>
  <si>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</si>
  <si>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</si>
  <si>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</si>
  <si>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</si>
  <si>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</si>
  <si>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</si>
  <si>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</si>
  <si>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</si>
  <si>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</si>
  <si>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</si>
  <si>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</si>
  <si>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</si>
  <si>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</si>
  <si>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</si>
  <si>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</si>
  <si>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</si>
  <si>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</si>
  <si>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</si>
  <si>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</si>
  <si>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</si>
  <si>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</si>
  <si>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</si>
  <si>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</si>
  <si>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</si>
  <si>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</si>
  <si>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</si>
  <si>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</si>
  <si>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</si>
  <si>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</si>
  <si>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</si>
  <si>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</si>
  <si>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</si>
  <si>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</si>
  <si>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</si>
  <si>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</si>
  <si>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</si>
  <si>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</si>
  <si>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</si>
  <si>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</si>
  <si>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</si>
  <si>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</si>
  <si>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</si>
  <si>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</si>
  <si>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</si>
  <si>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</si>
  <si>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</si>
  <si>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</si>
  <si>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</si>
  <si>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</si>
  <si>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</si>
  <si>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</si>
  <si>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</si>
  <si>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</si>
  <si>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</si>
  <si>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</si>
  <si>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</si>
  <si>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</si>
  <si>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</si>
  <si>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</si>
  <si>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</si>
  <si>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</si>
  <si>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</si>
  <si>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</si>
  <si>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</si>
  <si>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</si>
  <si>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</si>
  <si>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</si>
  <si>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</si>
  <si>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</si>
  <si>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</si>
  <si>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</si>
  <si>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</si>
  <si>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</si>
  <si>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</si>
  <si>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</si>
  <si>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</si>
  <si>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</si>
  <si>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</si>
  <si>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</si>
  <si>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</si>
  <si>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</si>
  <si>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</si>
  <si>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</si>
  <si>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</si>
  <si>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</si>
  <si>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</si>
  <si>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</si>
  <si>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</si>
  <si>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</si>
  <si>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</si>
  <si>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</si>
  <si>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</si>
  <si>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</si>
  <si>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</si>
  <si>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</si>
  <si>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</si>
  <si>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</si>
  <si>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</si>
  <si>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</si>
  <si>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</si>
  <si>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</si>
  <si>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</si>
  <si>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</si>
  <si>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</si>
  <si>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</si>
  <si>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</si>
  <si>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</si>
  <si>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</si>
  <si>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</si>
  <si>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</si>
  <si>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</si>
  <si>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</si>
  <si>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</si>
  <si>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</si>
  <si>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</si>
  <si>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</si>
  <si>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</si>
  <si>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</si>
  <si>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</si>
  <si>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</si>
  <si>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</si>
  <si>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</si>
  <si>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</si>
  <si>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</si>
  <si>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</si>
  <si>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</si>
  <si>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</si>
  <si>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</si>
  <si>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</si>
  <si>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</si>
  <si>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</si>
  <si>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</si>
  <si>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</si>
  <si>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</si>
  <si>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</si>
  <si>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</si>
  <si>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</si>
  <si>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</si>
  <si>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</si>
  <si>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</si>
  <si>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</si>
  <si>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</si>
  <si>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</si>
  <si>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</si>
  <si>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</si>
  <si>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</si>
  <si>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</si>
  <si>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</si>
  <si>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</si>
  <si>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</si>
  <si>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</si>
  <si>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</si>
  <si>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</si>
  <si>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</si>
  <si>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</si>
  <si>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</si>
  <si>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</si>
  <si>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</si>
  <si>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</si>
  <si>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</si>
  <si>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</si>
  <si>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</si>
  <si>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</si>
  <si>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</si>
  <si>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</si>
  <si>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</si>
  <si>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</si>
  <si>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</si>
  <si>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</si>
  <si>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</si>
  <si>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</si>
  <si>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</si>
  <si>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</si>
  <si>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</si>
  <si>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</si>
  <si>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</si>
  <si>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</si>
  <si>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</si>
  <si>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</si>
  <si>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</si>
  <si>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</si>
  <si>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</si>
  <si>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</si>
  <si>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</si>
  <si>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</si>
  <si>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</si>
  <si>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</si>
  <si>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</si>
  <si>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</si>
  <si>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</si>
  <si>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</si>
  <si>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</si>
  <si>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</si>
  <si>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</si>
  <si>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</si>
  <si>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</si>
  <si>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</si>
  <si>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</si>
  <si>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</si>
  <si>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</si>
  <si>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</si>
  <si>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</si>
  <si>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</si>
  <si>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</si>
  <si>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</si>
  <si>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</si>
  <si>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</si>
  <si>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</si>
  <si>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</si>
  <si>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</si>
  <si>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</si>
  <si>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</si>
  <si>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</si>
  <si>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</si>
  <si>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</si>
  <si>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</si>
  <si>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</si>
  <si>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</si>
  <si>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</si>
  <si>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</si>
  <si>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</si>
  <si>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</si>
  <si>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</si>
  <si>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</si>
  <si>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</si>
  <si>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</si>
  <si>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</si>
  <si>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</si>
  <si>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</si>
  <si>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</si>
  <si>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</si>
  <si>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</si>
  <si>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</si>
  <si>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</si>
  <si>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</si>
  <si>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</si>
  <si>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</si>
  <si>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</si>
  <si>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</si>
  <si>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</si>
  <si>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</si>
  <si>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</si>
  <si>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</si>
  <si>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</si>
  <si>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</si>
  <si>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</si>
  <si>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</si>
  <si>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</si>
  <si>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</si>
  <si>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</si>
  <si>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</si>
  <si>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</si>
  <si>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</si>
  <si>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</si>
  <si>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</si>
  <si>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</si>
  <si>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</si>
  <si>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</si>
  <si>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</si>
  <si>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</si>
  <si>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</si>
  <si>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</si>
  <si>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</si>
  <si>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</si>
  <si>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</si>
  <si>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</si>
  <si>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</si>
  <si>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</si>
  <si>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</si>
  <si>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</si>
  <si>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</si>
  <si>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</si>
  <si>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</si>
  <si>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</si>
  <si>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</si>
  <si>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</si>
  <si>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</si>
  <si>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</si>
  <si>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</si>
  <si>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</si>
  <si>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</si>
  <si>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</si>
  <si>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</si>
  <si>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</si>
  <si>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</si>
  <si>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</si>
  <si>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</si>
  <si>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</si>
  <si>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</si>
  <si>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</si>
  <si>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</si>
  <si>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</si>
  <si>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</si>
  <si>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</si>
  <si>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</si>
  <si>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</si>
  <si>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</si>
  <si>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</si>
  <si>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</si>
  <si>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</si>
  <si>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</si>
  <si>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</si>
  <si>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</si>
  <si>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</si>
  <si>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</si>
  <si>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</si>
  <si>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</si>
  <si>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</si>
  <si>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</si>
  <si>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</si>
  <si>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</si>
  <si>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</si>
  <si>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</si>
  <si>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</si>
  <si>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</si>
  <si>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</si>
  <si>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</si>
  <si>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</si>
  <si>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</si>
  <si>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</si>
  <si>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</si>
  <si>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</si>
  <si>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</si>
  <si>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</si>
  <si>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</si>
  <si>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</si>
  <si>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</si>
  <si>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</si>
  <si>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</si>
  <si>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</si>
  <si>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</si>
  <si>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</si>
  <si>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</si>
  <si>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</si>
  <si>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</si>
  <si>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</si>
  <si>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</si>
  <si>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</si>
  <si>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</si>
  <si>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</si>
  <si>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</si>
  <si>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</si>
  <si>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</si>
  <si>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</si>
  <si>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</si>
  <si>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</si>
  <si>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</si>
  <si>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</si>
  <si>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</si>
  <si>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</si>
  <si>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</si>
  <si>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</si>
  <si>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</si>
  <si>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</si>
  <si>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</si>
  <si>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</si>
  <si>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</si>
  <si>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</si>
  <si>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</si>
  <si>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</si>
  <si>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</si>
  <si>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</si>
  <si>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</si>
  <si>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</si>
  <si>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</si>
  <si>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</si>
  <si>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</si>
  <si>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</si>
  <si>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</si>
  <si>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</si>
  <si>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</si>
  <si>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</si>
  <si>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</si>
  <si>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</si>
  <si>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</si>
  <si>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</si>
  <si>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</si>
  <si>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</si>
  <si>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</si>
  <si>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</si>
  <si>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</si>
  <si>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</si>
  <si>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</si>
  <si>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</si>
  <si>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</si>
  <si>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</si>
  <si>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</si>
  <si>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</si>
  <si>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</si>
  <si>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</si>
  <si>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</si>
  <si>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</si>
  <si>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</si>
  <si>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</si>
  <si>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</si>
  <si>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</si>
  <si>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</si>
  <si>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</si>
  <si>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</si>
  <si>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</si>
  <si>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</si>
  <si>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</si>
  <si>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</si>
  <si>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</si>
  <si>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</si>
  <si>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</si>
  <si>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</si>
  <si>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</si>
  <si>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</si>
  <si>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</si>
  <si>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</si>
  <si>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</si>
  <si>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</si>
  <si>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</si>
  <si>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</si>
  <si>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</si>
  <si>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</si>
  <si>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</si>
  <si>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</si>
  <si>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</si>
  <si>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</si>
  <si>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</si>
  <si>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</si>
  <si>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</si>
  <si>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</si>
  <si>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</si>
  <si>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</si>
  <si>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</si>
  <si>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</si>
  <si>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</si>
  <si>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</si>
  <si>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</si>
  <si>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</si>
  <si>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</si>
  <si>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</si>
  <si>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</si>
  <si>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</si>
  <si>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</si>
  <si>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</si>
  <si>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</si>
  <si>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</si>
  <si>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</si>
  <si>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</si>
  <si>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</si>
  <si>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</si>
  <si>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</si>
  <si>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</si>
  <si>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</si>
  <si>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</si>
  <si>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</si>
  <si>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</si>
  <si>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</si>
  <si>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</si>
  <si>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</si>
  <si>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</si>
  <si>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</si>
  <si>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</si>
  <si>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</si>
  <si>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</si>
  <si>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</si>
  <si>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</si>
  <si>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</si>
  <si>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</si>
  <si>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</si>
  <si>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</si>
  <si>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</si>
  <si>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</si>
  <si>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</si>
  <si>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</si>
  <si>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</si>
  <si>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</si>
  <si>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</si>
  <si>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</si>
  <si>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</si>
  <si>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</si>
  <si>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</si>
  <si>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</si>
  <si>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</si>
  <si>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</si>
  <si>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</si>
  <si>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</si>
  <si>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</si>
  <si>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</si>
  <si>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</si>
  <si>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</si>
  <si>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</si>
  <si>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</si>
  <si>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</si>
  <si>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</si>
  <si>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</si>
  <si>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</si>
  <si>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</si>
  <si>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</si>
  <si>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</si>
  <si>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</si>
  <si>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</si>
  <si>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</si>
  <si>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</si>
  <si>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</si>
  <si>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</si>
  <si>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</si>
  <si>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</si>
  <si>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</si>
  <si>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</si>
  <si>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</si>
  <si>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</si>
  <si>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</si>
  <si>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</si>
  <si>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</si>
  <si>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</si>
  <si>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</si>
  <si>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</si>
  <si>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</si>
  <si>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</si>
  <si>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</si>
  <si>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</si>
  <si>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</si>
  <si>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</si>
  <si>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</si>
  <si>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</si>
  <si>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</si>
  <si>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</si>
  <si>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</si>
  <si>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</si>
  <si>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</si>
  <si>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</si>
  <si>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</si>
  <si>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</si>
  <si>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</si>
  <si>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</si>
  <si>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</si>
  <si>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</si>
  <si>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</si>
  <si>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</si>
  <si>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</si>
  <si>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</si>
  <si>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</si>
  <si>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</si>
  <si>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</si>
  <si>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</si>
  <si>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</si>
  <si>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</si>
  <si>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</si>
  <si>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</si>
  <si>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</si>
  <si>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</si>
  <si>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</si>
  <si>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</si>
  <si>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</si>
  <si>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</si>
  <si>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</si>
  <si>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</si>
  <si>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</si>
  <si>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</si>
  <si>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</si>
  <si>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</si>
  <si>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</si>
  <si>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</si>
  <si>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</si>
  <si>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</si>
  <si>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</si>
  <si>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</si>
  <si>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</si>
  <si>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</si>
  <si>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</si>
  <si>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</si>
  <si>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</si>
  <si>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</si>
  <si>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</si>
  <si>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</si>
  <si>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</si>
  <si>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</si>
  <si>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</si>
  <si>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</si>
  <si>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</si>
  <si>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</si>
  <si>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</si>
  <si>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</si>
  <si>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</si>
  <si>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</si>
  <si>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</si>
  <si>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</si>
  <si>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</si>
  <si>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</si>
  <si>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</si>
  <si>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</si>
  <si>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</si>
  <si>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</si>
  <si>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</si>
  <si>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</si>
  <si>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</si>
  <si>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</si>
  <si>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</si>
  <si>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</si>
  <si>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</si>
  <si>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</si>
  <si>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</si>
  <si>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</si>
  <si>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</si>
  <si>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</si>
  <si>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</si>
  <si>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</si>
  <si>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</si>
  <si>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</si>
  <si>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</si>
  <si>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</si>
  <si>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</si>
  <si>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</si>
  <si>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</si>
  <si>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</si>
  <si>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</si>
  <si>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</si>
  <si>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</si>
  <si>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</si>
  <si>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</si>
  <si>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</si>
  <si>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</si>
  <si>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</si>
  <si>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</si>
  <si>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</si>
  <si>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</si>
  <si>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</si>
  <si>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</si>
  <si>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</si>
  <si>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</si>
  <si>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</si>
  <si>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</si>
  <si>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</si>
  <si>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</si>
  <si>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</si>
  <si>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</si>
  <si>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</si>
  <si>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</si>
  <si>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</si>
  <si>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</si>
  <si>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</si>
  <si>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</si>
  <si>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</si>
  <si>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</si>
  <si>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</si>
  <si>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</si>
  <si>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</si>
  <si>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</si>
  <si>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</si>
  <si>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</si>
  <si>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</si>
  <si>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</si>
  <si>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</si>
  <si>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</si>
  <si>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</si>
  <si>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</si>
  <si>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</si>
  <si>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</si>
  <si>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</si>
  <si>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</si>
  <si>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</si>
  <si>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</si>
  <si>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</si>
  <si>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</si>
  <si>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</si>
  <si>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</si>
  <si>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</si>
  <si>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</si>
  <si>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</si>
  <si>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</si>
  <si>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</si>
  <si>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</si>
  <si>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</si>
  <si>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</si>
  <si>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</si>
  <si>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</si>
  <si>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</si>
  <si>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</si>
  <si>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</si>
  <si>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</si>
  <si>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</si>
  <si>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</si>
  <si>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</si>
  <si>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</si>
  <si>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</si>
  <si>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</si>
  <si>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</si>
  <si>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</si>
  <si>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</si>
  <si>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</si>
  <si>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</si>
  <si>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</si>
  <si>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</si>
  <si>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</si>
  <si>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</si>
  <si>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</si>
  <si>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</si>
  <si>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</si>
  <si>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</si>
  <si>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</si>
  <si>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</si>
  <si>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</si>
  <si>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</si>
  <si>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</si>
  <si>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</si>
  <si>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</si>
  <si>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</si>
  <si>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</si>
  <si>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</si>
  <si>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</si>
  <si>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</si>
  <si>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</si>
  <si>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</si>
  <si>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</si>
  <si>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</si>
  <si>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</si>
  <si>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</si>
  <si>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</si>
  <si>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</si>
  <si>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</si>
  <si>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</si>
  <si>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</si>
  <si>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</si>
  <si>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</si>
  <si>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</si>
  <si>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</si>
  <si>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</si>
  <si>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</si>
  <si>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</si>
  <si>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</si>
  <si>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</si>
  <si>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</si>
  <si>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</si>
  <si>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</si>
  <si>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</si>
  <si>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</si>
  <si>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</si>
  <si>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</si>
  <si>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</si>
  <si>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</si>
  <si>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</si>
  <si>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</si>
  <si>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</si>
  <si>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</si>
  <si>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</si>
  <si>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</si>
  <si>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</si>
  <si>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</si>
  <si>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</si>
  <si>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</si>
  <si>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</si>
  <si>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</si>
  <si>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</si>
  <si>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</si>
  <si>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</si>
  <si>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</si>
  <si>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</si>
  <si>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</si>
  <si>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</si>
  <si>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</si>
  <si>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</si>
  <si>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</si>
  <si>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</si>
  <si>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</si>
  <si>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</si>
  <si>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</si>
  <si>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</si>
  <si>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</si>
  <si>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</si>
  <si>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</si>
  <si>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</si>
  <si>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</si>
  <si>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</si>
  <si>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</si>
  <si>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</si>
  <si>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</si>
  <si>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</si>
  <si>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</si>
  <si>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</si>
  <si>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</si>
  <si>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</si>
  <si>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</si>
  <si>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</si>
  <si>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</si>
  <si>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</si>
  <si>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</si>
  <si>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</si>
  <si>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</si>
  <si>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</si>
  <si>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</si>
  <si>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</si>
  <si>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</si>
  <si>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</si>
  <si>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</si>
  <si>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</si>
  <si>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</si>
  <si>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</si>
  <si>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</si>
  <si>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</si>
  <si>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</si>
  <si>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</si>
  <si>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</si>
  <si>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</si>
  <si>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</si>
  <si>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</si>
  <si>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</si>
  <si>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</si>
  <si>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</si>
  <si>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</si>
  <si>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</si>
  <si>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</si>
  <si>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</si>
  <si>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</si>
  <si>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</si>
  <si>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</si>
  <si>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</si>
  <si>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</si>
  <si>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</si>
  <si>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</si>
  <si>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</si>
  <si>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</si>
  <si>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</si>
  <si>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</si>
  <si>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</si>
  <si>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</si>
  <si>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</si>
  <si>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</si>
  <si>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</si>
  <si>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</si>
  <si>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</si>
  <si>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</si>
  <si>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</si>
  <si>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</si>
  <si>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</si>
  <si>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</si>
  <si>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</si>
  <si>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</si>
  <si>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</si>
  <si>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</si>
  <si>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</si>
  <si>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</si>
  <si>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</si>
  <si>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</si>
  <si>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</si>
  <si>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</si>
  <si>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</si>
  <si>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</si>
  <si>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</si>
  <si>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</si>
  <si>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</si>
  <si>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</si>
  <si>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</si>
  <si>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</si>
  <si>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</si>
  <si>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</si>
  <si>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</si>
  <si>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</si>
  <si>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</si>
  <si>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</si>
  <si>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</si>
  <si>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</si>
  <si>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</si>
  <si>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</si>
  <si>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</si>
  <si>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</si>
  <si>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</si>
  <si>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</si>
  <si>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</si>
  <si>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</si>
  <si>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</si>
  <si>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</si>
  <si>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</si>
  <si>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</si>
  <si>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</si>
  <si>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</si>
  <si>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</si>
  <si>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</si>
  <si>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</si>
  <si>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</si>
  <si>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</si>
  <si>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</si>
  <si>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</si>
  <si>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</si>
  <si>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</si>
  <si>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</si>
  <si>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</si>
  <si>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</si>
  <si>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</si>
  <si>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</si>
  <si>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</si>
  <si>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</si>
  <si>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</si>
  <si>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</si>
  <si>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</si>
  <si>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</si>
  <si>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</si>
  <si>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</si>
  <si>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</si>
  <si>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</si>
  <si>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</si>
  <si>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</si>
  <si>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</si>
  <si>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</si>
  <si>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</si>
  <si>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</si>
  <si>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</si>
  <si>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</si>
  <si>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</si>
  <si>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</si>
  <si>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</si>
  <si>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</si>
  <si>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</si>
  <si>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</si>
  <si>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</si>
  <si>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</si>
  <si>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</si>
  <si>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</si>
  <si>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</si>
  <si>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</si>
  <si>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</si>
  <si>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</si>
  <si>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</si>
  <si>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</si>
  <si>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</si>
  <si>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</si>
  <si>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</si>
  <si>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</si>
  <si>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</si>
  <si>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</si>
  <si>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</si>
  <si>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</si>
  <si>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</si>
  <si>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</si>
  <si>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</si>
  <si>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</si>
  <si>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</si>
  <si>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</si>
  <si>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</si>
  <si>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</si>
  <si>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</si>
  <si>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</si>
  <si>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</si>
  <si>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</si>
  <si>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</si>
  <si>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</si>
  <si>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</si>
  <si>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</si>
  <si>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</si>
  <si>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</si>
  <si>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</si>
  <si>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</si>
  <si>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</si>
  <si>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</si>
  <si>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</si>
  <si>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</si>
  <si>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</si>
  <si>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</si>
  <si>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</si>
  <si>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</si>
  <si>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</si>
  <si>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</si>
  <si>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</si>
  <si>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</si>
  <si>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</si>
  <si>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</si>
  <si>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</si>
  <si>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</si>
  <si>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</si>
  <si>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</si>
  <si>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</si>
  <si>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</si>
  <si>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</si>
  <si>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</si>
  <si>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</si>
  <si>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</si>
  <si>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</si>
  <si>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</si>
  <si>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</si>
  <si>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</si>
  <si>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</si>
  <si>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</si>
  <si>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</si>
  <si>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</si>
  <si>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</si>
  <si>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</si>
  <si>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</si>
  <si>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</si>
  <si>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</si>
  <si>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</si>
  <si>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</si>
  <si>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</si>
  <si>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</si>
  <si>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</si>
  <si>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</si>
  <si>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</si>
  <si>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</si>
  <si>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</si>
  <si>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</si>
  <si>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</si>
  <si>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</si>
  <si>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</si>
  <si>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</si>
  <si>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</si>
  <si>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</si>
  <si>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</si>
  <si>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</si>
  <si>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</si>
  <si>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</si>
  <si>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</si>
  <si>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</si>
  <si>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</si>
  <si>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</si>
  <si>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</si>
  <si>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</si>
  <si>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</si>
  <si>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</si>
  <si>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</si>
  <si>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</si>
  <si>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</si>
  <si>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</si>
  <si>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</si>
  <si>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</si>
  <si>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</si>
  <si>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</si>
  <si>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</si>
  <si>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</si>
  <si>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</si>
  <si>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</si>
  <si>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</si>
  <si>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</si>
  <si>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</si>
  <si>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</si>
  <si>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</si>
  <si>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</si>
  <si>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</si>
  <si>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</si>
  <si>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</si>
  <si>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</si>
  <si>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</si>
  <si>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</si>
  <si>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</si>
  <si>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</si>
  <si>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</si>
  <si>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</si>
  <si>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</si>
  <si>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</si>
  <si>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</si>
  <si>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</si>
  <si>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</si>
  <si>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</si>
  <si>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</si>
  <si>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</si>
  <si>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</si>
  <si>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</si>
  <si>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</si>
  <si>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</si>
  <si>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</si>
  <si>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</si>
  <si>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</si>
  <si>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</si>
  <si>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</si>
  <si>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</si>
  <si>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</si>
  <si>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</si>
  <si>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</si>
  <si>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</si>
  <si>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</si>
  <si>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</si>
  <si>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</si>
  <si>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</si>
  <si>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</si>
  <si>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</si>
  <si>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</si>
  <si>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</si>
  <si>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</si>
  <si>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</si>
  <si>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</si>
  <si>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</si>
  <si>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</si>
  <si>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</si>
  <si>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</si>
  <si>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</si>
  <si>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</si>
  <si>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</si>
  <si>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</si>
  <si>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</si>
  <si>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</si>
  <si>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</si>
  <si>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</si>
  <si>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</si>
  <si>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</si>
  <si>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</si>
  <si>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</si>
  <si>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</si>
  <si>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</si>
  <si>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</si>
  <si>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</si>
  <si>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</si>
  <si>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</si>
  <si>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</si>
  <si>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</si>
  <si>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</si>
  <si>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</si>
  <si>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</si>
  <si>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</si>
  <si>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</si>
  <si>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</si>
  <si>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</si>
  <si>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</si>
  <si>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</si>
  <si>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</si>
  <si>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</si>
  <si>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</si>
  <si>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</si>
  <si>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</si>
  <si>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</si>
  <si>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</si>
  <si>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</si>
  <si>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</si>
  <si>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</si>
  <si>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</si>
  <si>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</si>
  <si>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</si>
  <si>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</si>
  <si>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</si>
  <si>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</si>
  <si>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</si>
  <si>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</si>
  <si>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</si>
  <si>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</si>
  <si>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</si>
  <si>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</si>
  <si>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</si>
  <si>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</si>
  <si>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</si>
  <si>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</si>
  <si>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</si>
  <si>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</si>
  <si>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</si>
  <si>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</si>
  <si>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</si>
  <si>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</si>
  <si>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</si>
  <si>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</si>
  <si>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</si>
  <si>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</si>
  <si>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</si>
  <si>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</si>
  <si>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</si>
  <si>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</si>
  <si>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</si>
  <si>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</si>
  <si>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</si>
  <si>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</si>
  <si>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</si>
  <si>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</si>
  <si>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</si>
  <si>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</si>
  <si>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</si>
  <si>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</si>
  <si>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</si>
  <si>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</si>
  <si>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</si>
  <si>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</si>
  <si>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</si>
  <si>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</si>
  <si>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</si>
  <si>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</si>
  <si>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</si>
  <si>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</si>
  <si>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</si>
  <si>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</si>
  <si>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</si>
  <si>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</si>
  <si>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</si>
  <si>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</si>
  <si>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</si>
  <si>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</si>
  <si>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</si>
  <si>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</si>
  <si>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</si>
  <si>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</si>
  <si>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</si>
  <si>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</si>
  <si>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</si>
  <si>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</si>
  <si>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</si>
  <si>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</si>
  <si>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</si>
  <si>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</si>
  <si>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</si>
  <si>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</si>
  <si>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</si>
  <si>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</si>
  <si>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</si>
  <si>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</si>
  <si>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</si>
  <si>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</si>
  <si>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</si>
  <si>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</si>
  <si>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</si>
  <si>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</si>
  <si>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</si>
  <si>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</si>
  <si>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</si>
  <si>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</si>
  <si>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</si>
  <si>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</si>
  <si>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</si>
  <si>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</si>
  <si>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</si>
  <si>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</si>
  <si>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</si>
  <si>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</si>
  <si>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</si>
  <si>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</si>
  <si>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</si>
  <si>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</si>
  <si>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</si>
  <si>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</si>
  <si>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</si>
  <si>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</si>
  <si>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</si>
  <si>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</si>
  <si>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</si>
  <si>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</si>
  <si>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</si>
  <si>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</si>
  <si>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</si>
  <si>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</si>
  <si>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</si>
  <si>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</si>
  <si>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</si>
  <si>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</si>
  <si>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</si>
  <si>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</si>
  <si>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</si>
  <si>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</si>
  <si>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</si>
  <si>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</si>
  <si>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</si>
  <si>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</si>
  <si>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</si>
  <si>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</si>
  <si>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</si>
  <si>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</si>
  <si>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</si>
  <si>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</si>
  <si>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</si>
  <si>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</si>
  <si>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</si>
  <si>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</si>
  <si>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</si>
  <si>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</si>
  <si>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</si>
  <si>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</si>
  <si>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</si>
  <si>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</si>
  <si>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</si>
  <si>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</si>
  <si>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</si>
  <si>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</si>
  <si>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</si>
  <si>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</si>
  <si>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</si>
  <si>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</si>
  <si>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</si>
  <si>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</si>
  <si>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</si>
  <si>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</si>
  <si>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</si>
  <si>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</si>
  <si>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</si>
  <si>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</si>
  <si>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</si>
  <si>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</si>
  <si>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</si>
  <si>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</si>
  <si>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</si>
  <si>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</si>
  <si>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</si>
  <si>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</si>
  <si>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</si>
  <si>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</si>
  <si>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</si>
  <si>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</si>
  <si>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</si>
  <si>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</si>
  <si>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</si>
  <si>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</si>
  <si>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</si>
  <si>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</si>
  <si>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</si>
  <si>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</si>
  <si>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</si>
  <si>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</si>
  <si>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</si>
  <si>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</si>
  <si>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</si>
  <si>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</si>
  <si>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</si>
  <si>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</si>
  <si>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</si>
  <si>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</si>
  <si>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</si>
  <si>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</si>
  <si>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</si>
  <si>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</si>
  <si>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</si>
  <si>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</si>
  <si>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</si>
  <si>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</si>
  <si>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</si>
  <si>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</si>
  <si>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</si>
  <si>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</si>
  <si>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</si>
  <si>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</si>
  <si>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</si>
  <si>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</si>
  <si>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</si>
  <si>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</si>
  <si>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</si>
  <si>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</si>
  <si>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</si>
  <si>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</si>
  <si>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</si>
  <si>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</si>
  <si>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</si>
  <si>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</si>
  <si>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</si>
  <si>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</si>
  <si>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</si>
  <si>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</si>
  <si>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</si>
  <si>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</si>
  <si>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</si>
  <si>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</si>
  <si>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</si>
  <si>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</si>
  <si>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</si>
  <si>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</si>
  <si>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</si>
  <si>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</si>
  <si>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</si>
  <si>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</si>
  <si>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</si>
  <si>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</si>
  <si>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</si>
  <si>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</si>
  <si>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</si>
  <si>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</si>
  <si>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</si>
  <si>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</si>
  <si>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</si>
  <si>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</si>
  <si>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</si>
  <si>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</si>
  <si>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</si>
  <si>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</si>
  <si>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</si>
  <si>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</si>
  <si>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</si>
  <si>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</si>
  <si>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</si>
  <si>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</si>
  <si>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</si>
  <si>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</si>
  <si>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</si>
  <si>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</si>
  <si>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</si>
  <si>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</si>
  <si>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</si>
  <si>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</si>
  <si>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</si>
  <si>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</si>
  <si>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</si>
  <si>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</si>
  <si>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</si>
  <si>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</si>
  <si>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</si>
  <si>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</si>
  <si>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</si>
  <si>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</si>
  <si>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</si>
  <si>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</si>
  <si>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</si>
  <si>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</si>
  <si>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</si>
  <si>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</si>
  <si>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</si>
  <si>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</si>
  <si>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</si>
  <si>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</si>
  <si>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</si>
  <si>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</si>
  <si>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</si>
  <si>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</si>
  <si>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</si>
  <si>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</si>
  <si>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</si>
  <si>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</si>
  <si>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</si>
  <si>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</si>
  <si>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</si>
  <si>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</si>
  <si>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</si>
  <si>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</si>
  <si>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</si>
  <si>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</si>
  <si>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</si>
  <si>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</si>
  <si>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</si>
  <si>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</si>
  <si>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</si>
  <si>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</si>
  <si>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</si>
  <si>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</si>
  <si>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</si>
  <si>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</si>
  <si>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</si>
  <si>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</si>
  <si>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</si>
  <si>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</si>
  <si>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</si>
  <si>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</si>
  <si>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</si>
  <si>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</si>
  <si>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</si>
  <si>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</si>
  <si>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</si>
  <si>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</si>
  <si>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</si>
  <si>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</si>
  <si>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</si>
  <si>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</si>
  <si>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</si>
  <si>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</si>
  <si>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</si>
  <si>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</si>
  <si>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</si>
  <si>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</si>
  <si>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</si>
  <si>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</si>
  <si>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</si>
  <si>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</si>
  <si>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</si>
  <si>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</si>
  <si>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</si>
  <si>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</si>
  <si>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</si>
  <si>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</si>
  <si>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</si>
  <si>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</si>
  <si>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</si>
  <si>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</si>
  <si>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</si>
  <si>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</si>
  <si>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</si>
  <si>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</si>
  <si>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</si>
  <si>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</si>
  <si>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</si>
  <si>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</si>
  <si>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</si>
  <si>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</si>
  <si>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</si>
  <si>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</si>
  <si>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</si>
  <si>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</si>
  <si>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</si>
  <si>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</si>
  <si>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</si>
  <si>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</si>
  <si>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</si>
  <si>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</si>
  <si>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</si>
  <si>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</si>
  <si>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</si>
  <si>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</si>
  <si>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</si>
  <si>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</si>
  <si>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</si>
  <si>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</si>
  <si>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</si>
  <si>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</si>
  <si>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</si>
  <si>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</si>
  <si>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</si>
  <si>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</si>
  <si>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</si>
  <si>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</si>
  <si>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</si>
  <si>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</si>
  <si>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</si>
  <si>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</si>
  <si>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</si>
  <si>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</si>
  <si>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</si>
  <si>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</si>
  <si>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</si>
  <si>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</si>
  <si>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</si>
  <si>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</si>
  <si>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</si>
  <si>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</si>
  <si>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</si>
  <si>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</si>
  <si>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</si>
  <si>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</si>
  <si>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</si>
  <si>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</si>
  <si>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</si>
  <si>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</si>
  <si>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</si>
  <si>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</si>
  <si>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</si>
  <si>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</si>
  <si>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</si>
  <si>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</si>
  <si>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</si>
  <si>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</si>
  <si>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</si>
  <si>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</si>
  <si>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</si>
  <si>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</si>
  <si>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</si>
  <si>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</si>
  <si>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</si>
  <si>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</si>
  <si>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</si>
  <si>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</si>
  <si>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</si>
  <si>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</si>
  <si>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</si>
  <si>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</si>
  <si>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</si>
  <si>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</si>
  <si>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</si>
  <si>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</si>
  <si>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</si>
  <si>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</si>
  <si>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</si>
  <si>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</si>
  <si>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</si>
  <si>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</si>
  <si>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</si>
  <si>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</si>
  <si>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</si>
  <si>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</si>
  <si>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</si>
  <si>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</si>
  <si>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</si>
  <si>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</si>
  <si>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</si>
  <si>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</si>
  <si>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</si>
  <si>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</si>
  <si>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</si>
  <si>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</si>
  <si>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</si>
  <si>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</si>
  <si>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</si>
  <si>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</si>
  <si>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</si>
  <si>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</si>
  <si>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</si>
  <si>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</si>
  <si>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</si>
  <si>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</si>
  <si>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</si>
  <si>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</si>
  <si>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</si>
  <si>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</si>
  <si>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</si>
  <si>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</si>
  <si>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</si>
  <si>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</si>
  <si>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</si>
  <si>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</si>
  <si>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</si>
  <si>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</si>
  <si>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</si>
  <si>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</si>
  <si>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</si>
  <si>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</si>
  <si>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</si>
  <si>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</si>
  <si>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</si>
  <si>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</si>
  <si>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</si>
  <si>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</si>
  <si>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</si>
  <si>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</si>
  <si>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</si>
  <si>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</si>
  <si>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</si>
  <si>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</si>
  <si>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</si>
  <si>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</si>
  <si>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</si>
  <si>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</si>
  <si>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</si>
  <si>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</si>
  <si>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</si>
  <si>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</si>
  <si>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</si>
  <si>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</si>
  <si>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</si>
  <si>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</si>
  <si>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</si>
  <si>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</si>
  <si>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</si>
  <si>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</si>
  <si>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</si>
  <si>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</si>
  <si>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</si>
  <si>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</si>
  <si>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</si>
  <si>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</si>
  <si>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</si>
  <si>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</si>
  <si>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</si>
  <si>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</si>
  <si>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</si>
  <si>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</si>
  <si>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</si>
  <si>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</si>
  <si>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</si>
  <si>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</si>
  <si>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</si>
  <si>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</si>
  <si>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</si>
  <si>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</si>
  <si>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</si>
  <si>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</si>
  <si>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</si>
  <si>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</si>
  <si>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</si>
  <si>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</si>
  <si>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</si>
  <si>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</si>
  <si>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</si>
  <si>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</si>
  <si>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</si>
  <si>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</si>
  <si>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</si>
  <si>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</si>
  <si>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</si>
  <si>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</si>
  <si>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</si>
  <si>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</si>
  <si>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</si>
  <si>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</si>
  <si>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</si>
  <si>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</si>
  <si>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</si>
  <si>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</si>
  <si>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</si>
  <si>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</si>
  <si>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</si>
  <si>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</si>
  <si>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</si>
  <si>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</si>
  <si>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</si>
  <si>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</si>
  <si>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</si>
  <si>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</si>
  <si>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</si>
  <si>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</si>
  <si>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</si>
  <si>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</si>
  <si>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</si>
  <si>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</si>
  <si>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</si>
  <si>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</si>
  <si>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</si>
  <si>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</si>
  <si>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</si>
  <si>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</si>
  <si>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</si>
  <si>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</si>
  <si>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</si>
  <si>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</si>
  <si>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</si>
  <si>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</si>
  <si>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</si>
  <si>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</si>
  <si>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</si>
  <si>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</si>
  <si>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</si>
  <si>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</si>
  <si>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</si>
  <si>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</si>
  <si>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</si>
  <si>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</si>
  <si>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</si>
  <si>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</si>
  <si>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</si>
  <si>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</si>
  <si>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</si>
  <si>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</si>
  <si>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</si>
  <si>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</si>
  <si>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</si>
  <si>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</si>
  <si>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</si>
  <si>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</si>
  <si>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</si>
  <si>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</si>
  <si>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</si>
  <si>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</si>
  <si>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</si>
  <si>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</si>
  <si>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</si>
  <si>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</si>
  <si>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</si>
  <si>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</si>
  <si>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</si>
  <si>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</si>
  <si>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</si>
  <si>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</si>
  <si>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</si>
  <si>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</si>
  <si>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</si>
  <si>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</si>
  <si>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</si>
  <si>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</si>
  <si>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</si>
  <si>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</si>
  <si>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</si>
  <si>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</si>
  <si>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</si>
  <si>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</si>
  <si>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</si>
  <si>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</si>
  <si>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</si>
  <si>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</si>
  <si>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</si>
  <si>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</si>
  <si>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</si>
  <si>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</si>
  <si>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</si>
  <si>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</si>
  <si>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</si>
  <si>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</si>
  <si>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</si>
  <si>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</si>
  <si>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</si>
  <si>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</si>
  <si>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</si>
  <si>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</si>
  <si>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</si>
  <si>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</si>
  <si>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</si>
  <si>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</si>
  <si>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</si>
  <si>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</si>
  <si>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</si>
  <si>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</si>
  <si>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</si>
  <si>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</si>
  <si>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</si>
  <si>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</si>
  <si>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</si>
  <si>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</si>
  <si>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</si>
  <si>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</si>
  <si>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</si>
  <si>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</si>
  <si>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</si>
  <si>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</si>
  <si>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</si>
  <si>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</si>
  <si>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</si>
  <si>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</si>
  <si>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</si>
  <si>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</si>
  <si>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</si>
  <si>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</si>
  <si>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</si>
  <si>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</si>
  <si>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</si>
  <si>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</si>
  <si>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</si>
  <si>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</si>
  <si>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</si>
  <si>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</si>
  <si>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</si>
  <si>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</si>
  <si>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</si>
  <si>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</si>
  <si>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</si>
  <si>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</si>
  <si>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</si>
  <si>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</si>
  <si>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</si>
  <si>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</si>
  <si>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</si>
  <si>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</si>
  <si>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</si>
  <si>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</si>
  <si>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</si>
  <si>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</si>
  <si>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</si>
  <si>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</si>
  <si>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</si>
  <si>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</si>
  <si>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</si>
  <si>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</si>
  <si>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</si>
  <si>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</si>
  <si>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</si>
  <si>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</si>
  <si>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</si>
  <si>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</si>
  <si>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</si>
  <si>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</si>
  <si>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</si>
  <si>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</si>
  <si>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</si>
  <si>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</si>
  <si>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</si>
  <si>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</si>
  <si>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</si>
  <si>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</si>
  <si>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</si>
  <si>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</si>
  <si>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</si>
  <si>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</si>
  <si>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</si>
  <si>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</si>
  <si>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</si>
  <si>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</si>
  <si>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</si>
  <si>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</si>
  <si>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</si>
  <si>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</si>
  <si>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</si>
  <si>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</si>
  <si>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</si>
  <si>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</si>
  <si>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</si>
  <si>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</si>
  <si>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</si>
  <si>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</si>
  <si>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</si>
  <si>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</si>
  <si>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</si>
  <si>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</si>
  <si>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</si>
  <si>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</si>
  <si>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</si>
  <si>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</si>
  <si>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</si>
  <si>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</si>
  <si>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</si>
  <si>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</si>
  <si>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</si>
  <si>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</si>
  <si>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</si>
  <si>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</si>
  <si>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</si>
  <si>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</si>
  <si>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</si>
  <si>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</si>
  <si>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</si>
  <si>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</si>
  <si>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</si>
  <si>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</si>
  <si>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</si>
  <si>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</si>
  <si>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</si>
  <si>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</si>
  <si>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</si>
  <si>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</si>
  <si>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</si>
  <si>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</si>
  <si>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</si>
  <si>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</si>
  <si>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</si>
  <si>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</si>
  <si>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</si>
  <si>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</si>
  <si>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</si>
  <si>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</si>
  <si>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</si>
  <si>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</si>
  <si>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</si>
  <si>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</si>
  <si>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</si>
  <si>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</si>
  <si>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</si>
  <si>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</si>
  <si>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</si>
  <si>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</si>
  <si>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</si>
  <si>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</si>
  <si>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</si>
  <si>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</si>
  <si>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</si>
  <si>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</si>
  <si>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</si>
  <si>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</si>
  <si>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</si>
  <si>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</si>
  <si>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</si>
  <si>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</si>
  <si>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</si>
  <si>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</si>
  <si>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</si>
  <si>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</si>
  <si>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</si>
  <si>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</si>
  <si>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</si>
  <si>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</si>
  <si>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</si>
  <si>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</si>
  <si>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</si>
  <si>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</si>
  <si>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</si>
  <si>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</si>
  <si>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</si>
  <si>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</si>
  <si>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</si>
  <si>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</si>
  <si>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</si>
  <si>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</si>
  <si>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</si>
  <si>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</si>
  <si>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</si>
  <si>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</si>
  <si>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</si>
  <si>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</si>
  <si>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</si>
  <si>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</si>
  <si>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</si>
  <si>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</si>
  <si>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</si>
  <si>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</si>
  <si>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</si>
  <si>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</si>
  <si>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</si>
  <si>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</si>
  <si>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</si>
  <si>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</si>
  <si>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</si>
  <si>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</si>
  <si>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</si>
  <si>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</si>
  <si>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</si>
  <si>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</si>
  <si>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</si>
  <si>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</si>
  <si>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</si>
  <si>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</si>
  <si>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</si>
  <si>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</si>
  <si>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</si>
  <si>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</si>
  <si>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</si>
  <si>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</si>
  <si>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</si>
  <si>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</si>
  <si>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</si>
  <si>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</si>
  <si>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</si>
  <si>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</si>
  <si>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</si>
  <si>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</si>
  <si>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</si>
  <si>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</si>
  <si>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</si>
  <si>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</si>
  <si>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</si>
  <si>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</si>
  <si>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</si>
  <si>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</si>
  <si>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</si>
  <si>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</si>
  <si>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</si>
  <si>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</si>
  <si>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</si>
  <si>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</si>
  <si>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</si>
  <si>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</si>
  <si>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</si>
  <si>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</si>
  <si>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</si>
  <si>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</si>
  <si>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</si>
  <si>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</si>
  <si>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</si>
  <si>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</si>
  <si>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</si>
  <si>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</si>
  <si>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</si>
  <si>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</si>
  <si>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</si>
  <si>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</si>
  <si>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</si>
  <si>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</si>
  <si>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</si>
  <si>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</si>
  <si>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</si>
  <si>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</si>
  <si>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</si>
  <si>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</si>
  <si>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</si>
  <si>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</si>
  <si>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</si>
  <si>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</si>
  <si>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</si>
  <si>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</si>
  <si>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</si>
  <si>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</si>
  <si>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</si>
  <si>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</si>
  <si>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</si>
  <si>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</si>
  <si>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</si>
  <si>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</si>
  <si>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</si>
  <si>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</si>
  <si>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</si>
  <si>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</si>
  <si>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</si>
  <si>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</si>
  <si>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</si>
  <si>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</si>
  <si>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</si>
  <si>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</si>
  <si>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</si>
  <si>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</si>
  <si>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</si>
  <si>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</si>
  <si>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</si>
  <si>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</si>
  <si>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</si>
  <si>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</si>
  <si>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</si>
  <si>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</si>
  <si>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</si>
  <si>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</si>
  <si>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</si>
  <si>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</si>
  <si>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</si>
  <si>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</si>
  <si>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</si>
  <si>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</si>
  <si>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</si>
  <si>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</si>
  <si>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</si>
  <si>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</si>
  <si>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</si>
  <si>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</si>
  <si>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</si>
  <si>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</si>
  <si>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</si>
  <si>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</si>
  <si>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</si>
  <si>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</si>
  <si>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</si>
  <si>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</si>
  <si>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</si>
  <si>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</si>
  <si>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</si>
  <si>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</si>
  <si>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</si>
  <si>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</si>
  <si>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</si>
  <si>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</si>
  <si>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</si>
  <si>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</si>
  <si>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</si>
  <si>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</si>
  <si>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</si>
  <si>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</si>
  <si>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</si>
  <si>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</si>
  <si>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</si>
  <si>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</si>
  <si>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</si>
  <si>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</si>
  <si>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</si>
  <si>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</si>
  <si>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</si>
  <si>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</si>
  <si>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</si>
  <si>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</si>
  <si>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</si>
  <si>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</si>
  <si>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</si>
  <si>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</si>
  <si>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</si>
  <si>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</si>
  <si>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</si>
  <si>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</si>
  <si>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</si>
  <si>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</si>
  <si>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</si>
  <si>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</si>
  <si>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</si>
  <si>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</si>
  <si>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</si>
  <si>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</si>
  <si>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</si>
  <si>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</si>
  <si>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</si>
  <si>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</si>
  <si>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</si>
  <si>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</si>
  <si>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</si>
  <si>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</si>
  <si>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</si>
  <si>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</si>
  <si>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</si>
  <si>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</si>
  <si>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</si>
  <si>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</si>
  <si>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</si>
  <si>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</si>
  <si>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</si>
  <si>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</si>
  <si>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</si>
  <si>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</si>
  <si>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</si>
  <si>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</si>
  <si>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</si>
  <si>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</si>
  <si>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</si>
  <si>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</si>
  <si>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</si>
  <si>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</si>
  <si>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</si>
  <si>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</si>
  <si>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</si>
  <si>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</si>
  <si>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</si>
  <si>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</si>
  <si>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</si>
  <si>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</si>
  <si>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</si>
  <si>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</si>
  <si>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</si>
  <si>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</si>
  <si>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</si>
  <si>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</si>
  <si>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</si>
  <si>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</si>
  <si>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</si>
  <si>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</si>
  <si>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</si>
  <si>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</si>
  <si>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</si>
  <si>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</si>
  <si>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</si>
  <si>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</si>
  <si>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</si>
  <si>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</si>
  <si>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</si>
  <si>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</si>
  <si>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</si>
  <si>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</si>
  <si>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</si>
  <si>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</si>
  <si>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</si>
  <si>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</si>
  <si>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</si>
  <si>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</si>
  <si>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</si>
  <si>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</si>
  <si>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</si>
  <si>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</si>
  <si>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</si>
  <si>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</si>
  <si>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</si>
  <si>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</si>
  <si>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</si>
  <si>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</si>
  <si>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</si>
  <si>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</si>
  <si>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</si>
  <si>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</si>
  <si>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</si>
  <si>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</si>
  <si>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</si>
  <si>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</si>
  <si>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</si>
  <si>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</si>
  <si>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</si>
  <si>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</si>
  <si>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</si>
  <si>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</si>
  <si>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</si>
  <si>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</si>
  <si>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</si>
  <si>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</si>
  <si>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</si>
  <si>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</si>
  <si>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</si>
  <si>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</si>
  <si>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</si>
  <si>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</si>
  <si>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</si>
  <si>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</si>
  <si>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</si>
  <si>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</si>
  <si>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</si>
  <si>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</si>
  <si>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</si>
  <si>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</si>
  <si>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</si>
  <si>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</si>
  <si>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</si>
  <si>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</si>
  <si>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</si>
  <si>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</si>
  <si>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</si>
  <si>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</si>
  <si>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</si>
  <si>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</si>
  <si>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</si>
  <si>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</si>
  <si>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</si>
  <si>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</si>
  <si>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</si>
  <si>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</si>
  <si>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</si>
  <si>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</si>
  <si>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</si>
  <si>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</si>
  <si>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</si>
  <si>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</si>
  <si>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</si>
  <si>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</si>
  <si>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</si>
  <si>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</si>
  <si>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</si>
  <si>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</si>
  <si>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</si>
  <si>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</si>
  <si>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</si>
  <si>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</si>
  <si>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</si>
  <si>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</si>
  <si>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</si>
  <si>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</si>
  <si>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</si>
  <si>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</si>
  <si>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</si>
  <si>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</si>
  <si>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</si>
  <si>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</si>
  <si>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</si>
  <si>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</si>
  <si>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</si>
  <si>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</si>
  <si>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</si>
  <si>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</si>
  <si>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</si>
  <si>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</si>
  <si>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</si>
  <si>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</si>
  <si>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</si>
  <si>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</si>
  <si>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</si>
  <si>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</si>
  <si>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</si>
  <si>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</si>
  <si>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</si>
  <si>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</si>
  <si>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</si>
  <si>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</si>
  <si>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</si>
  <si>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</si>
  <si>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</si>
  <si>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</si>
  <si>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</si>
  <si>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</si>
  <si>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</si>
  <si>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</si>
  <si>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</si>
  <si>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</si>
  <si>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</si>
  <si>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</si>
  <si>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</si>
  <si>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</si>
  <si>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</si>
  <si>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</si>
  <si>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</si>
  <si>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</si>
  <si>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</si>
  <si>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</si>
  <si>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</si>
  <si>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</si>
  <si>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</si>
  <si>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</si>
  <si>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</si>
  <si>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</si>
  <si>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</si>
  <si>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</si>
  <si>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</si>
  <si>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</si>
  <si>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</si>
  <si>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</si>
  <si>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</si>
  <si>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</si>
  <si>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</si>
  <si>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</si>
  <si>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</si>
  <si>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</si>
  <si>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</si>
  <si>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</si>
  <si>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</si>
  <si>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</si>
  <si>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</si>
  <si>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</si>
  <si>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</si>
  <si>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</si>
  <si>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</si>
  <si>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</si>
  <si>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</si>
  <si>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</si>
  <si>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</si>
  <si>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</si>
  <si>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</si>
  <si>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</si>
  <si>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</si>
  <si>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</si>
  <si>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</si>
  <si>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</si>
  <si>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</si>
  <si>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</si>
  <si>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</si>
  <si>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</si>
  <si>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</si>
  <si>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</si>
  <si>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</si>
  <si>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</si>
  <si>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</si>
  <si>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</si>
  <si>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</si>
  <si>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</si>
  <si>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</si>
  <si>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</si>
  <si>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</si>
  <si>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</si>
  <si>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</si>
  <si>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</si>
  <si>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</si>
  <si>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</si>
  <si>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</si>
  <si>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</si>
  <si>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</si>
  <si>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</si>
  <si>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</si>
  <si>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</si>
  <si>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</si>
  <si>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</si>
  <si>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</si>
  <si>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</si>
  <si>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</si>
  <si>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</si>
  <si>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</si>
  <si>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</si>
  <si>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</si>
  <si>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</si>
  <si>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</si>
  <si>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</si>
  <si>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</si>
  <si>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</si>
  <si>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</si>
  <si>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</si>
  <si>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</si>
  <si>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</si>
  <si>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</si>
  <si>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</si>
  <si>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</si>
  <si>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</si>
  <si>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</si>
  <si>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</si>
  <si>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</si>
  <si>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</si>
  <si>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</si>
  <si>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</si>
  <si>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</si>
  <si>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</si>
  <si>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</si>
  <si>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</si>
  <si>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</si>
  <si>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</si>
  <si>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</si>
  <si>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</si>
  <si>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</si>
  <si>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</si>
  <si>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</si>
  <si>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</si>
  <si>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</si>
  <si>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</si>
  <si>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</si>
  <si>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</si>
  <si>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</si>
  <si>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</si>
  <si>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</si>
  <si>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</si>
  <si>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</si>
  <si>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</si>
  <si>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</si>
  <si>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</si>
  <si>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</si>
  <si>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</si>
  <si>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</si>
  <si>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</si>
  <si>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</si>
  <si>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</si>
  <si>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</si>
  <si>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</si>
  <si>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</si>
  <si>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</si>
  <si>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</si>
  <si>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</si>
  <si>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</si>
  <si>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</si>
  <si>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</si>
  <si>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</si>
  <si>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</si>
  <si>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</si>
  <si>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</si>
  <si>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</si>
  <si>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</si>
  <si>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</si>
  <si>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</si>
  <si>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</si>
  <si>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</si>
  <si>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</si>
  <si>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</si>
  <si>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</si>
  <si>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</si>
  <si>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</si>
  <si>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</si>
  <si>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</si>
  <si>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</si>
  <si>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</si>
  <si>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</si>
  <si>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</si>
  <si>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</si>
  <si>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</si>
  <si>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</si>
  <si>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</si>
  <si>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</si>
  <si>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</si>
  <si>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</si>
  <si>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</si>
  <si>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</si>
  <si>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</si>
  <si>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</si>
  <si>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</si>
  <si>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</si>
  <si>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</si>
  <si>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</si>
  <si>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</si>
  <si>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</si>
  <si>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</si>
  <si>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</si>
  <si>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</si>
  <si>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</si>
  <si>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</si>
  <si>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</si>
  <si>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</si>
  <si>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</si>
  <si>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</si>
  <si>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</si>
  <si>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</si>
  <si>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</si>
  <si>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</si>
  <si>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</si>
  <si>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</si>
  <si>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</si>
  <si>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</si>
  <si>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</si>
  <si>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</si>
  <si>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</si>
  <si>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</si>
  <si>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</si>
  <si>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</si>
  <si>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</si>
  <si>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</si>
  <si>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</si>
  <si>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</si>
  <si>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</si>
  <si>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</si>
  <si>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</si>
  <si>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</si>
  <si>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</si>
  <si>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</si>
  <si>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</si>
  <si>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</si>
  <si>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</si>
  <si>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</si>
  <si>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</si>
  <si>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</si>
  <si>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</si>
  <si>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</si>
  <si>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</si>
  <si>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</si>
  <si>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</si>
  <si>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</si>
  <si>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</si>
  <si>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</si>
  <si>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</si>
  <si>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</si>
  <si>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</si>
  <si>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</si>
  <si>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</si>
  <si>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</si>
  <si>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</si>
  <si>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</si>
  <si>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</si>
  <si>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</si>
  <si>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</si>
  <si>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</si>
  <si>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</si>
  <si>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</si>
  <si>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</si>
  <si>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</si>
  <si>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</si>
  <si>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</si>
  <si>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</si>
  <si>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</si>
  <si>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</si>
  <si>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</si>
  <si>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</si>
  <si>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</si>
  <si>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</si>
  <si>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</si>
  <si>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</si>
  <si>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</si>
  <si>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</si>
  <si>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</si>
  <si>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</si>
  <si>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</si>
  <si>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</si>
  <si>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</si>
  <si>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</si>
  <si>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</si>
  <si>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</si>
  <si>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</si>
  <si>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</si>
  <si>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</si>
  <si>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</si>
  <si>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</si>
  <si>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</si>
  <si>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</si>
  <si>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</si>
  <si>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</si>
  <si>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</si>
  <si>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</si>
  <si>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</si>
  <si>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</si>
  <si>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</si>
  <si>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</si>
  <si>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</si>
  <si>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</si>
  <si>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</si>
  <si>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</si>
  <si>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</si>
  <si>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</si>
  <si>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</si>
  <si>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</si>
  <si>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</si>
  <si>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</si>
  <si>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</si>
  <si>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</si>
  <si>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</si>
  <si>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</si>
  <si>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</si>
  <si>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</si>
  <si>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</si>
  <si>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</si>
  <si>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</si>
  <si>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</si>
  <si>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</si>
  <si>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</si>
  <si>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</si>
  <si>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</si>
  <si>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</si>
  <si>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</si>
  <si>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</si>
  <si>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</si>
  <si>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</si>
  <si>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</si>
  <si>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</si>
  <si>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</si>
  <si>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</si>
  <si>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</si>
  <si>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</si>
  <si>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</si>
  <si>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</si>
  <si>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</si>
  <si>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</si>
  <si>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</si>
  <si>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</si>
  <si>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</si>
  <si>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</si>
  <si>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</si>
  <si>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</si>
  <si>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</si>
  <si>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</si>
  <si>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</si>
  <si>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</si>
  <si>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</si>
  <si>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</si>
  <si>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</si>
  <si>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</si>
  <si>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</si>
  <si>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</si>
  <si>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</si>
  <si>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</si>
  <si>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</si>
  <si>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</si>
  <si>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</si>
  <si>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</si>
  <si>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</si>
  <si>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</si>
  <si>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</si>
  <si>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</si>
  <si>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</si>
  <si>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</si>
  <si>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</si>
  <si>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</si>
  <si>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</si>
  <si>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</si>
  <si>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</si>
  <si>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</si>
  <si>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</si>
  <si>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</si>
  <si>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</si>
  <si>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</si>
  <si>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</si>
  <si>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</si>
  <si>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</si>
  <si>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</si>
  <si>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</si>
  <si>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</si>
  <si>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</si>
  <si>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</si>
  <si>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</si>
  <si>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</si>
  <si>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</si>
  <si>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</si>
  <si>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</si>
  <si>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</si>
  <si>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</si>
  <si>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</si>
  <si>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</si>
  <si>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</si>
  <si>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</si>
  <si>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</si>
  <si>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</si>
  <si>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</si>
  <si>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</si>
  <si>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</si>
  <si>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</si>
  <si>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</si>
  <si>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</si>
  <si>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</si>
  <si>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</si>
  <si>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</si>
  <si>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</si>
  <si>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</si>
  <si>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</si>
  <si>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</si>
  <si>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</si>
  <si>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</si>
  <si>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</si>
  <si>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</si>
  <si>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</si>
  <si>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</si>
  <si>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</si>
  <si>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</si>
  <si>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</si>
  <si>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</si>
  <si>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</si>
  <si>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</si>
  <si>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</si>
  <si>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</si>
  <si>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</si>
  <si>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</si>
  <si>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</si>
  <si>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</si>
  <si>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</si>
  <si>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</si>
  <si>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</si>
  <si>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</si>
  <si>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</si>
  <si>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</si>
  <si>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</si>
  <si>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</si>
  <si>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</si>
  <si>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</si>
  <si>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</si>
  <si>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</si>
  <si>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</si>
  <si>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</si>
  <si>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</si>
  <si>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</si>
  <si>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</si>
  <si>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</si>
  <si>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</si>
  <si>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</si>
  <si>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</si>
  <si>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</si>
  <si>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</si>
  <si>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</si>
  <si>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</si>
  <si>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</si>
  <si>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</si>
  <si>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</si>
  <si>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</si>
  <si>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</si>
  <si>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</si>
  <si>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</si>
  <si>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</si>
  <si>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</si>
  <si>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</si>
  <si>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</si>
  <si>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</si>
  <si>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</si>
  <si>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</si>
  <si>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</si>
  <si>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</si>
  <si>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</si>
  <si>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</si>
  <si>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</si>
  <si>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</si>
  <si>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</si>
  <si>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</si>
  <si>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</si>
  <si>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</si>
  <si>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</si>
  <si>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</si>
  <si>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</si>
  <si>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</si>
  <si>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</si>
  <si>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</si>
  <si>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</si>
  <si>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</si>
  <si>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</si>
  <si>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</si>
  <si>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</si>
  <si>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</si>
  <si>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</si>
  <si>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</si>
  <si>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</si>
  <si>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</si>
  <si>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</si>
  <si>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</si>
  <si>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</si>
  <si>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</si>
  <si>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</si>
  <si>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</si>
  <si>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</si>
  <si>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</si>
  <si>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</si>
  <si>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</si>
  <si>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</si>
  <si>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</si>
  <si>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</si>
  <si>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</si>
  <si>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</si>
  <si>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</si>
  <si>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</si>
  <si>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</si>
  <si>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</si>
  <si>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</si>
  <si>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</si>
  <si>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</si>
  <si>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</si>
  <si>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</si>
  <si>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</si>
  <si>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</si>
  <si>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</si>
  <si>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</si>
  <si>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</si>
  <si>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</si>
  <si>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</si>
  <si>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</si>
  <si>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</si>
  <si>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</si>
  <si>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</si>
  <si>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</si>
  <si>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</si>
  <si>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</si>
  <si>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</si>
  <si>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</si>
  <si>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</si>
  <si>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</si>
  <si>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</si>
  <si>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</si>
  <si>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</si>
  <si>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</si>
  <si>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</si>
  <si>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</si>
  <si>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</si>
  <si>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</si>
  <si>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</si>
  <si>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</si>
  <si>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</si>
  <si>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</si>
  <si>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</si>
  <si>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</si>
  <si>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</si>
  <si>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</si>
  <si>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</si>
  <si>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</si>
  <si>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</si>
  <si>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</si>
  <si>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</si>
  <si>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</si>
  <si>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</si>
  <si>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</si>
  <si>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</si>
  <si>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</si>
  <si>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</si>
  <si>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</si>
  <si>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</si>
  <si>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</si>
  <si>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</si>
  <si>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</si>
  <si>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</si>
  <si>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</si>
  <si>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</si>
  <si>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</si>
  <si>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</si>
  <si>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</si>
  <si>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</si>
  <si>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</si>
  <si>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</si>
  <si>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</si>
  <si>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</si>
  <si>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</si>
  <si>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</si>
  <si>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</si>
  <si>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</si>
  <si>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</si>
  <si>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</si>
  <si>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</si>
  <si>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</si>
  <si>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</si>
  <si>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</si>
  <si>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</si>
  <si>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</si>
  <si>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</si>
  <si>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</si>
  <si>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</si>
  <si>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</si>
  <si>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</si>
  <si>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</si>
  <si>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</si>
  <si>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</si>
  <si>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</si>
  <si>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</si>
  <si>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</si>
  <si>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</si>
  <si>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</si>
  <si>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</si>
  <si>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</si>
  <si>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</si>
  <si>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</si>
  <si>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</si>
  <si>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</si>
  <si>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</si>
  <si>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</si>
  <si>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</si>
  <si>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</si>
  <si>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</si>
  <si>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</si>
  <si>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</si>
  <si>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</si>
  <si>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</si>
  <si>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</si>
  <si>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</si>
  <si>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</si>
  <si>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</si>
  <si>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</si>
  <si>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</si>
  <si>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</si>
  <si>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</si>
  <si>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</si>
  <si>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</si>
  <si>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</si>
  <si>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</si>
  <si>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</si>
  <si>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</si>
  <si>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</si>
  <si>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</si>
  <si>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</si>
  <si>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</si>
  <si>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</si>
  <si>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</si>
  <si>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</si>
  <si>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</si>
  <si>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</si>
  <si>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</si>
  <si>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</si>
  <si>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</si>
  <si>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</si>
  <si>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</si>
  <si>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</si>
  <si>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</si>
  <si>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</si>
  <si>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</si>
  <si>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</si>
  <si>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</si>
  <si>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</si>
  <si>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</si>
  <si>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</si>
  <si>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</si>
  <si>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</si>
  <si>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</si>
  <si>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</si>
  <si>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</si>
  <si>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</si>
  <si>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</si>
  <si>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</si>
  <si>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</si>
  <si>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</si>
  <si>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</si>
  <si>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</si>
  <si>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</si>
  <si>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</si>
  <si>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</si>
  <si>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</si>
  <si>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</si>
  <si>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</si>
  <si>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</si>
  <si>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</si>
  <si>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</si>
  <si>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</si>
  <si>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</si>
  <si>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</si>
  <si>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</si>
  <si>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</si>
  <si>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</si>
  <si>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</si>
  <si>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</si>
  <si>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</si>
  <si>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</si>
  <si>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</si>
  <si>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</si>
  <si>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</si>
  <si>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</si>
  <si>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</si>
  <si>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</si>
  <si>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</si>
  <si>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</si>
  <si>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</si>
  <si>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</si>
  <si>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</si>
  <si>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</si>
  <si>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</si>
  <si>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</si>
  <si>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</si>
  <si>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</si>
  <si>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</si>
  <si>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</si>
  <si>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</si>
  <si>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</si>
  <si>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</si>
  <si>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</si>
  <si>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</si>
  <si>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</si>
  <si>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</si>
  <si>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</si>
  <si>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</si>
  <si>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</si>
  <si>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</si>
  <si>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</si>
  <si>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</si>
  <si>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</si>
  <si>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</si>
  <si>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</si>
  <si>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</si>
  <si>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</si>
  <si>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</si>
  <si>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</si>
  <si>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</si>
  <si>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</si>
  <si>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</si>
  <si>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</si>
  <si>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</si>
  <si>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</si>
  <si>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</si>
  <si>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</si>
  <si>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</si>
  <si>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</si>
  <si>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</si>
  <si>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</si>
  <si>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</si>
  <si>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</si>
  <si>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</si>
  <si>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</si>
  <si>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</si>
  <si>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</si>
  <si>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</si>
  <si>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</si>
  <si>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</si>
  <si>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</si>
  <si>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</si>
  <si>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</si>
  <si>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</si>
  <si>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</si>
  <si>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</si>
  <si>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</si>
  <si>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</si>
  <si>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</si>
  <si>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</si>
  <si>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</si>
  <si>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</si>
  <si>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</si>
  <si>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</si>
  <si>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</si>
  <si>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</si>
  <si>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</si>
  <si>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</si>
  <si>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</si>
  <si>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</si>
  <si>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</si>
  <si>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</si>
  <si>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</si>
  <si>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</si>
  <si>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</si>
  <si>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</si>
  <si>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</si>
  <si>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</si>
  <si>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</si>
  <si>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</si>
  <si>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</si>
  <si>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</si>
  <si>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</si>
  <si>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</si>
  <si>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</si>
  <si>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</si>
  <si>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</si>
  <si>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</si>
  <si>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</si>
  <si>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</si>
  <si>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</si>
  <si>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</si>
  <si>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</si>
  <si>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</si>
  <si>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</si>
  <si>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</si>
  <si>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</si>
  <si>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</si>
  <si>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</si>
  <si>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</si>
  <si>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</si>
  <si>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</si>
  <si>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</si>
  <si>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</si>
  <si>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</si>
  <si>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</si>
  <si>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</si>
  <si>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</si>
  <si>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</si>
  <si>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</si>
  <si>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</si>
  <si>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</si>
  <si>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</si>
  <si>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</si>
  <si>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</si>
  <si>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</si>
  <si>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</si>
  <si>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</si>
  <si>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</si>
  <si>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</si>
  <si>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</si>
  <si>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</si>
  <si>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</si>
  <si>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</si>
  <si>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</si>
  <si>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</si>
  <si>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</si>
  <si>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</si>
  <si>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</si>
  <si>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</si>
  <si>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</si>
  <si>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</si>
  <si>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</si>
  <si>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</si>
  <si>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</si>
  <si>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</si>
  <si>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</si>
  <si>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</si>
  <si>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</si>
  <si>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</si>
  <si>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</si>
  <si>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</si>
  <si>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</si>
  <si>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</si>
  <si>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</si>
  <si>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</si>
  <si>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</si>
  <si>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</si>
  <si>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</si>
  <si>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</si>
  <si>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</si>
  <si>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</si>
  <si>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</si>
  <si>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</si>
  <si>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</si>
  <si>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</si>
  <si>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</si>
  <si>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</si>
  <si>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</si>
  <si>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</si>
  <si>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</si>
  <si>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</si>
  <si>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</si>
  <si>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</si>
  <si>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</si>
  <si>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</si>
  <si>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</si>
  <si>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</si>
  <si>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</si>
  <si>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</si>
  <si>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</si>
  <si>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</si>
  <si>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</si>
  <si>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</si>
  <si>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</si>
  <si>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</si>
  <si>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</si>
  <si>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</si>
  <si>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</si>
  <si>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</si>
  <si>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</si>
  <si>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</si>
  <si>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</si>
  <si>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</si>
  <si>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</si>
  <si>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</si>
  <si>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</si>
  <si>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</si>
  <si>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</si>
  <si>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</si>
  <si>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</si>
  <si>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</si>
  <si>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</si>
  <si>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</si>
  <si>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</si>
  <si>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</si>
  <si>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</si>
  <si>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</si>
  <si>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</si>
  <si>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</si>
  <si>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</si>
  <si>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</si>
  <si>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</si>
  <si>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</si>
  <si>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</si>
  <si>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</si>
  <si>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</si>
  <si>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</si>
  <si>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</si>
  <si>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</si>
  <si>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</si>
  <si>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</si>
  <si>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</si>
  <si>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</si>
  <si>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</si>
  <si>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</si>
  <si>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</si>
  <si>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</si>
  <si>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</si>
  <si>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</si>
  <si>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</si>
  <si>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</si>
  <si>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</si>
  <si>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</si>
  <si>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</si>
  <si>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</si>
  <si>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</si>
  <si>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</si>
  <si>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</si>
  <si>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</si>
  <si>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</si>
  <si>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</si>
  <si>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</si>
  <si>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</si>
  <si>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</si>
  <si>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</si>
  <si>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</si>
  <si>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</si>
  <si>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</si>
  <si>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</si>
  <si>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</si>
  <si>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</si>
  <si>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</si>
  <si>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</si>
  <si>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</si>
  <si>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</si>
  <si>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</si>
  <si>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</si>
  <si>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</si>
  <si>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</si>
  <si>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</si>
  <si>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</si>
  <si>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</si>
  <si>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</si>
  <si>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</si>
  <si>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</si>
  <si>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</si>
  <si>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</si>
  <si>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</si>
  <si>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</si>
  <si>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</si>
  <si>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</si>
  <si>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</si>
  <si>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</si>
  <si>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</si>
  <si>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</si>
  <si>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</si>
  <si>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</si>
  <si>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</si>
  <si>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</si>
  <si>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</si>
  <si>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</si>
  <si>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</si>
  <si>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</si>
  <si>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</si>
  <si>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</si>
  <si>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</si>
  <si>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</si>
  <si>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</si>
  <si>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</si>
  <si>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</si>
  <si>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</si>
  <si>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</si>
  <si>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</si>
  <si>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</si>
  <si>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</si>
  <si>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</si>
  <si>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</si>
  <si>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</si>
  <si>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</si>
  <si>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</si>
  <si>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</si>
  <si>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</si>
  <si>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</si>
  <si>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</si>
  <si>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</si>
  <si>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</si>
  <si>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</si>
  <si>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</si>
  <si>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</si>
  <si>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</si>
  <si>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</si>
  <si>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</si>
  <si>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</si>
  <si>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</si>
  <si>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</si>
  <si>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</si>
  <si>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</si>
  <si>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</si>
  <si>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</si>
  <si>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</si>
  <si>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</si>
  <si>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</si>
  <si>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</si>
  <si>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</si>
  <si>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</si>
  <si>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</si>
  <si>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</si>
  <si>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</si>
  <si>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</si>
  <si>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</si>
  <si>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</si>
  <si>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</si>
  <si>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</si>
  <si>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</si>
  <si>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</si>
  <si>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</si>
  <si>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</si>
  <si>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</si>
  <si>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</si>
  <si>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</si>
  <si>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</si>
  <si>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</si>
  <si>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</si>
  <si>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</si>
  <si>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</si>
  <si>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</si>
  <si>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</si>
  <si>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</si>
  <si>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</si>
  <si>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</si>
  <si>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</si>
  <si>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</si>
  <si>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</si>
  <si>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</si>
  <si>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</si>
  <si>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</si>
  <si>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</si>
  <si>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</si>
  <si>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</si>
  <si>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</si>
  <si>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</si>
  <si>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</si>
  <si>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</si>
  <si>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</si>
  <si>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</si>
  <si>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</si>
  <si>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</si>
  <si>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</si>
  <si>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</si>
  <si>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</si>
  <si>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</si>
  <si>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</si>
  <si>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</si>
  <si>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</si>
  <si>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</si>
  <si>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</si>
  <si>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</si>
  <si>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</si>
  <si>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</si>
  <si>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</si>
  <si>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</si>
  <si>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</si>
  <si>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</si>
  <si>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</si>
  <si>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</si>
  <si>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</si>
  <si>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</si>
  <si>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</si>
  <si>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</si>
  <si>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</si>
  <si>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</si>
  <si>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</si>
  <si>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</si>
  <si>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</si>
  <si>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</si>
  <si>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</si>
  <si>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</si>
  <si>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</si>
  <si>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</si>
  <si>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</si>
  <si>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</si>
  <si>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</si>
  <si>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</si>
  <si>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</si>
  <si>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</si>
  <si>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</si>
  <si>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</si>
  <si>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</si>
  <si>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</si>
  <si>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</si>
  <si>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</si>
  <si>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</si>
  <si>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</si>
  <si>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</si>
  <si>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</si>
  <si>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</si>
  <si>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</si>
  <si>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</si>
  <si>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</si>
  <si>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</si>
  <si>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</si>
  <si>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</si>
  <si>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</si>
  <si>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</si>
  <si>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</si>
  <si>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</si>
  <si>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</si>
  <si>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</si>
  <si>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</si>
  <si>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</si>
  <si>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</si>
  <si>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</si>
  <si>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</si>
  <si>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</si>
  <si>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</si>
  <si>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</si>
  <si>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</si>
  <si>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</si>
  <si>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</si>
  <si>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</si>
  <si>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</si>
  <si>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</si>
  <si>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</si>
  <si>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</si>
  <si>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</si>
  <si>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</si>
  <si>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</si>
  <si>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</si>
  <si>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</si>
  <si>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</si>
  <si>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</si>
  <si>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</si>
  <si>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</si>
  <si>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</si>
  <si>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</si>
  <si>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</si>
  <si>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</si>
  <si>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</si>
  <si>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</si>
  <si>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</si>
  <si>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</si>
  <si>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</si>
  <si>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</si>
  <si>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</si>
  <si>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</si>
  <si>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</si>
  <si>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</si>
  <si>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</si>
  <si>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</si>
  <si>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</si>
  <si>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</si>
  <si>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</si>
  <si>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</si>
  <si>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</si>
  <si>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</si>
  <si>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</si>
  <si>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</si>
  <si>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</si>
  <si>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</si>
  <si>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</si>
  <si>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</si>
  <si>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</si>
  <si>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</si>
  <si>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</si>
  <si>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</si>
  <si>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</si>
  <si>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</si>
  <si>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</si>
  <si>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</si>
  <si>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</si>
  <si>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</si>
  <si>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</si>
  <si>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</si>
  <si>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</si>
  <si>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</si>
  <si>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</si>
  <si>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</si>
  <si>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</si>
  <si>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</si>
  <si>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</si>
  <si>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</si>
  <si>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</si>
  <si>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</si>
  <si>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</si>
  <si>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</si>
  <si>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</si>
  <si>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</si>
  <si>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</si>
  <si>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</si>
  <si>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</si>
  <si>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</si>
  <si>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</si>
  <si>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</si>
  <si>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</si>
  <si>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</si>
  <si>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</si>
  <si>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</si>
  <si>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</si>
  <si>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</si>
  <si>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</si>
  <si>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</si>
  <si>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</si>
  <si>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</si>
  <si>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</si>
  <si>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</si>
  <si>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</si>
  <si>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</si>
  <si>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</si>
  <si>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</si>
  <si>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</si>
  <si>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</si>
  <si>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</si>
  <si>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</si>
  <si>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</si>
  <si>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</si>
  <si>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</si>
  <si>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</si>
  <si>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</si>
  <si>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</si>
  <si>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</si>
  <si>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</si>
  <si>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</si>
  <si>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</si>
  <si>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</si>
  <si>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</si>
  <si>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</si>
  <si>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</si>
  <si>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</si>
  <si>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</si>
  <si>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</si>
  <si>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</si>
  <si>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</si>
  <si>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</si>
  <si>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</si>
  <si>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</si>
  <si>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</si>
  <si>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</si>
  <si>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</si>
  <si>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</si>
  <si>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</si>
  <si>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</si>
  <si>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</si>
  <si>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</si>
  <si>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</si>
  <si>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</si>
  <si>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</si>
  <si>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</si>
  <si>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</si>
  <si>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</si>
  <si>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</si>
  <si>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</si>
  <si>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</si>
  <si>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</si>
  <si>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</si>
  <si>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</si>
  <si>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</si>
  <si>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</si>
  <si>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</si>
  <si>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</si>
  <si>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</si>
  <si>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</si>
  <si>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</si>
  <si>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</si>
  <si>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</si>
  <si>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</si>
  <si>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</si>
  <si>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</si>
  <si>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</si>
  <si>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</si>
  <si>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</si>
  <si>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</si>
  <si>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</si>
  <si>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</si>
  <si>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</si>
  <si>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</si>
  <si>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</si>
  <si>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</si>
  <si>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</si>
  <si>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</si>
  <si>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</si>
  <si>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</si>
  <si>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</si>
  <si>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</si>
  <si>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</si>
  <si>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</si>
  <si>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</si>
  <si>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</si>
  <si>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</si>
  <si>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</si>
  <si>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</si>
  <si>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</si>
  <si>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</si>
  <si>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</si>
  <si>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</si>
  <si>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</si>
  <si>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</si>
  <si>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</si>
  <si>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</si>
  <si>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</si>
  <si>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</si>
  <si>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</si>
  <si>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</si>
  <si>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</si>
  <si>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</si>
  <si>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</si>
  <si>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</si>
  <si>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</si>
  <si>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</si>
  <si>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</si>
  <si>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</si>
  <si>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</si>
  <si>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</si>
  <si>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</si>
  <si>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</si>
  <si>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</si>
  <si>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</si>
  <si>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</si>
  <si>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</si>
  <si>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</si>
  <si>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</si>
  <si>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</si>
  <si>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</si>
  <si>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</si>
  <si>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</si>
  <si>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</si>
  <si>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</si>
  <si>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</si>
  <si>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</si>
  <si>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</si>
  <si>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</si>
  <si>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</si>
  <si>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</si>
  <si>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</si>
  <si>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</si>
  <si>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</si>
  <si>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</si>
  <si>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</si>
  <si>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</si>
  <si>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</si>
  <si>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</si>
  <si>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</si>
  <si>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</si>
  <si>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</si>
  <si>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</si>
  <si>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</si>
  <si>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</si>
  <si>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</si>
  <si>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</si>
  <si>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</si>
  <si>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</si>
  <si>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</si>
  <si>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</si>
  <si>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</si>
  <si>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</si>
  <si>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</si>
  <si>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</si>
  <si>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</si>
  <si>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</si>
  <si>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</si>
  <si>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</si>
  <si>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</si>
  <si>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</si>
  <si>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</si>
  <si>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</si>
  <si>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</si>
  <si>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</si>
  <si>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</si>
  <si>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</si>
  <si>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</si>
  <si>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</si>
  <si>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</si>
  <si>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</si>
  <si>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</si>
  <si>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</si>
  <si>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</si>
  <si>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</si>
  <si>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</si>
  <si>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</si>
  <si>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</si>
  <si>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</si>
  <si>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</si>
  <si>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</si>
  <si>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</si>
  <si>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</si>
  <si>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</si>
  <si>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</si>
  <si>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</si>
  <si>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</si>
  <si>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</si>
  <si>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</si>
  <si>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</si>
  <si>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</si>
  <si>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</si>
  <si>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</si>
  <si>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</si>
  <si>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</si>
  <si>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</si>
  <si>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</si>
  <si>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</si>
  <si>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</si>
  <si>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</si>
  <si>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</si>
  <si>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</si>
  <si>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</si>
  <si>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</si>
  <si>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</si>
  <si>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</si>
  <si>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</si>
  <si>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</si>
  <si>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</si>
  <si>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</si>
  <si>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</si>
  <si>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</si>
  <si>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</si>
  <si>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</si>
  <si>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</si>
  <si>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</si>
  <si>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</si>
  <si>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</si>
  <si>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</si>
  <si>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</si>
  <si>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</si>
  <si>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</si>
  <si>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</si>
  <si>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</si>
  <si>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</si>
  <si>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</si>
  <si>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</si>
  <si>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</si>
  <si>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</si>
  <si>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</si>
  <si>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</si>
  <si>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</si>
  <si>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</si>
  <si>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</si>
  <si>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</si>
  <si>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</si>
  <si>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</si>
  <si>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</si>
  <si>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</si>
  <si>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</si>
  <si>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</si>
  <si>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</si>
  <si>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</si>
  <si>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</si>
  <si>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</si>
  <si>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</si>
  <si>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</si>
  <si>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</si>
  <si>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</si>
  <si>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</si>
  <si>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</si>
  <si>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</si>
  <si>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</si>
  <si>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</si>
  <si>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</si>
  <si>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</si>
  <si>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</si>
  <si>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</si>
  <si>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</si>
  <si>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</si>
  <si>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</si>
  <si>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</si>
  <si>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</si>
  <si>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</si>
  <si>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</si>
  <si>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</si>
  <si>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</si>
  <si>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</si>
  <si>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</si>
  <si>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</si>
  <si>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</si>
  <si>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</si>
  <si>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</si>
  <si>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</si>
  <si>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</si>
  <si>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</si>
  <si>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</si>
  <si>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</si>
  <si>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</si>
  <si>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</si>
  <si>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</si>
  <si>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</si>
  <si>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</si>
  <si>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</si>
  <si>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</si>
  <si>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</si>
  <si>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</si>
  <si>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</si>
  <si>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</si>
  <si>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</si>
  <si>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</si>
  <si>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</si>
  <si>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</si>
  <si>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</si>
  <si>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</si>
  <si>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</si>
  <si>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</si>
  <si>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</si>
  <si>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</si>
  <si>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</si>
  <si>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</si>
  <si>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</si>
  <si>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</si>
  <si>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</si>
  <si>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</si>
  <si>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</si>
  <si>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</si>
  <si>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</si>
  <si>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</si>
  <si>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</si>
  <si>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</si>
  <si>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</si>
  <si>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</si>
  <si>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</si>
  <si>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</si>
  <si>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</si>
  <si>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</si>
  <si>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</si>
  <si>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</si>
  <si>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</si>
  <si>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</si>
  <si>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</si>
  <si>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</si>
  <si>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</si>
  <si>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</si>
  <si>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</si>
  <si>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</si>
  <si>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</si>
  <si>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</si>
  <si>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</si>
  <si>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</si>
  <si>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</si>
  <si>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</si>
  <si>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</si>
  <si>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</si>
  <si>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</si>
  <si>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</si>
  <si>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</si>
  <si>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</si>
  <si>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</si>
  <si>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</si>
  <si>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</si>
  <si>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</si>
  <si>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</si>
  <si>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</si>
  <si>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</si>
  <si>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</si>
  <si>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</si>
  <si>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</si>
  <si>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</si>
  <si>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</si>
  <si>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</si>
  <si>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</si>
  <si>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</si>
  <si>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</si>
  <si>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</si>
  <si>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</si>
  <si>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</si>
  <si>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</si>
  <si>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</si>
  <si>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</si>
  <si>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</si>
  <si>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</si>
  <si>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</si>
  <si>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</si>
  <si>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</si>
  <si>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</si>
  <si>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</si>
  <si>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</si>
  <si>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</si>
  <si>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</si>
  <si>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</si>
  <si>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</si>
  <si>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</si>
  <si>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</si>
  <si>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</si>
  <si>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</si>
  <si>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</si>
  <si>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</si>
  <si>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</si>
  <si>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</si>
  <si>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</si>
  <si>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</si>
  <si>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</si>
  <si>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</si>
  <si>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</si>
  <si>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</si>
  <si>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</si>
  <si>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</si>
  <si>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</si>
  <si>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</si>
  <si>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</si>
  <si>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</si>
  <si>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</si>
  <si>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</si>
  <si>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</si>
  <si>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</si>
  <si>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</si>
  <si>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</si>
  <si>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</si>
  <si>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</si>
  <si>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</si>
  <si>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</si>
  <si>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</si>
  <si>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</si>
  <si>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</si>
  <si>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</si>
  <si>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</si>
  <si>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</si>
  <si>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</si>
  <si>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</si>
  <si>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</si>
  <si>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</si>
  <si>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</si>
  <si>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</si>
  <si>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</si>
  <si>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</si>
  <si>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</si>
  <si>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</si>
  <si>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</si>
  <si>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</si>
  <si>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</si>
  <si>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</si>
  <si>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</si>
  <si>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</si>
  <si>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</si>
  <si>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</si>
  <si>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</si>
  <si>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</si>
  <si>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</si>
  <si>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</si>
  <si>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</si>
  <si>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</si>
  <si>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</si>
  <si>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</si>
  <si>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</si>
  <si>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</si>
  <si>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</si>
  <si>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</si>
  <si>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</si>
  <si>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</si>
  <si>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</si>
  <si>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</si>
  <si>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</si>
  <si>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</si>
  <si>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</si>
  <si>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</si>
  <si>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</si>
  <si>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</si>
  <si>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</si>
  <si>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</si>
  <si>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</si>
  <si>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</si>
  <si>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</si>
  <si>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</si>
  <si>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</si>
  <si>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</si>
  <si>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</si>
  <si>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</si>
  <si>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</si>
  <si>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</si>
  <si>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</si>
  <si>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</si>
  <si>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</si>
  <si>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</si>
  <si>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</si>
  <si>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</si>
  <si>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</si>
  <si>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</si>
  <si>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</si>
  <si>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</si>
  <si>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</si>
  <si>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</si>
  <si>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</si>
  <si>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</si>
  <si>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</si>
  <si>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</si>
  <si>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</si>
  <si>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</si>
  <si>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</si>
  <si>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</si>
  <si>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</si>
  <si>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</si>
  <si>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</si>
  <si>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</si>
  <si>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</si>
  <si>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</si>
  <si>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</si>
  <si>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</si>
  <si>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</si>
  <si>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</si>
  <si>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</si>
  <si>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</si>
  <si>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</si>
  <si>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</si>
  <si>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</si>
  <si>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</si>
  <si>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</si>
  <si>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</si>
  <si>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</si>
  <si>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</si>
  <si>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</si>
  <si>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</si>
  <si>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</si>
  <si>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</si>
  <si>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</si>
  <si>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</si>
  <si>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</si>
  <si>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</si>
  <si>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</si>
  <si>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</si>
  <si>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</si>
  <si>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</si>
  <si>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</si>
  <si>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</si>
  <si>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</si>
  <si>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</si>
  <si>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</si>
  <si>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</si>
  <si>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</si>
  <si>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</si>
  <si>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</si>
  <si>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</si>
  <si>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</si>
  <si>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</si>
  <si>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</si>
  <si>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</si>
  <si>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</si>
  <si>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</si>
  <si>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</si>
  <si>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</si>
  <si>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</si>
  <si>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</si>
  <si>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</si>
  <si>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</si>
  <si>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</si>
  <si>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</si>
  <si>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</si>
  <si>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</si>
  <si>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</si>
  <si>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</si>
  <si>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</si>
  <si>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</si>
  <si>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</si>
  <si>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</si>
  <si>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</si>
  <si>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</si>
  <si>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</si>
  <si>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</si>
  <si>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</si>
  <si>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</si>
  <si>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</si>
  <si>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</si>
  <si>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</si>
  <si>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</si>
  <si>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</si>
  <si>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</si>
  <si>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</si>
  <si>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</si>
  <si>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</si>
  <si>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</si>
  <si>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</si>
  <si>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</si>
  <si>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</si>
  <si>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</si>
  <si>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</si>
  <si>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</si>
  <si>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</si>
  <si>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</si>
  <si>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</si>
  <si>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</si>
  <si>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</si>
  <si>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</si>
  <si>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</si>
  <si>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</si>
  <si>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</si>
  <si>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</si>
  <si>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</si>
  <si>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</si>
  <si>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</si>
  <si>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</si>
  <si>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</si>
  <si>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</si>
  <si>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</si>
  <si>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</si>
  <si>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</si>
  <si>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</si>
  <si>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</si>
  <si>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</si>
  <si>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</si>
  <si>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</si>
  <si>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</si>
  <si>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</si>
  <si>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</si>
  <si>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</si>
  <si>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</si>
  <si>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</si>
  <si>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</si>
  <si>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</si>
  <si>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</si>
  <si>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</si>
  <si>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</si>
  <si>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</si>
  <si>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</si>
  <si>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</si>
  <si>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</si>
  <si>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</si>
  <si>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</si>
  <si>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</si>
  <si>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</si>
  <si>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</si>
  <si>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</si>
  <si>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</si>
  <si>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</si>
  <si>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</si>
  <si>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</si>
  <si>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</si>
  <si>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</si>
  <si>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</si>
  <si>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</si>
  <si>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</si>
  <si>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</si>
  <si>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</si>
  <si>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</si>
  <si>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</si>
  <si>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</si>
  <si>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</si>
  <si>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</si>
  <si>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</si>
  <si>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</si>
  <si>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</si>
  <si>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</si>
  <si>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</si>
  <si>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</si>
  <si>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</si>
  <si>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</si>
  <si>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</si>
  <si>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</si>
  <si>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</si>
  <si>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</si>
  <si>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</si>
  <si>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</si>
  <si>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</si>
  <si>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</si>
  <si>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</si>
  <si>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</si>
  <si>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</si>
  <si>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</si>
  <si>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</si>
  <si>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</si>
  <si>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</si>
  <si>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</si>
  <si>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</si>
  <si>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</si>
  <si>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</si>
  <si>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</si>
  <si>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</si>
  <si>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</si>
  <si>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</si>
  <si>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</si>
  <si>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</si>
  <si>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</si>
  <si>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</si>
  <si>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</si>
  <si>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</si>
  <si>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</si>
  <si>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</si>
  <si>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</si>
  <si>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</si>
  <si>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</si>
  <si>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</si>
  <si>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</si>
  <si>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</si>
  <si>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</si>
  <si>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</si>
  <si>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</si>
  <si>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</si>
  <si>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</si>
  <si>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</si>
  <si>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</si>
  <si>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</si>
  <si>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</si>
  <si>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</si>
  <si>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</si>
  <si>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</si>
  <si>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</si>
  <si>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</si>
  <si>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</si>
  <si>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</si>
  <si>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</si>
  <si>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</si>
  <si>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</si>
  <si>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</si>
  <si>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</si>
  <si>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</si>
  <si>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</si>
  <si>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</si>
  <si>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</si>
  <si>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</si>
  <si>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</si>
  <si>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</si>
  <si>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</si>
  <si>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</si>
  <si>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</si>
  <si>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</si>
  <si>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</si>
  <si>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</si>
  <si>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</si>
  <si>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</si>
  <si>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</si>
  <si>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</si>
  <si>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</si>
  <si>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</si>
  <si>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</si>
  <si>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</si>
  <si>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</si>
  <si>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</si>
  <si>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</si>
  <si>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</si>
  <si>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</si>
  <si>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</si>
  <si>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</si>
  <si>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</si>
  <si>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</si>
  <si>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</si>
  <si>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</si>
  <si>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</si>
  <si>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</si>
  <si>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</si>
  <si>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</si>
  <si>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</si>
  <si>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</si>
  <si>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</si>
  <si>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</si>
  <si>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</si>
  <si>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</si>
  <si>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</si>
  <si>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</si>
  <si>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</si>
  <si>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</si>
  <si>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</si>
  <si>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</si>
  <si>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</si>
  <si>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</si>
  <si>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</si>
  <si>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</si>
  <si>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</si>
  <si>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</si>
  <si>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</si>
  <si>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</si>
  <si>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</si>
  <si>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</si>
  <si>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</si>
  <si>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</si>
  <si>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</si>
  <si>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</si>
  <si>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</si>
  <si>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</si>
  <si>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</si>
  <si>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</si>
  <si>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</si>
  <si>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</si>
  <si>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</si>
  <si>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</si>
  <si>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</si>
  <si>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</si>
  <si>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</si>
  <si>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</si>
  <si>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</si>
  <si>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</si>
  <si>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</si>
  <si>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</si>
  <si>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</si>
  <si>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</si>
  <si>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</si>
  <si>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</si>
  <si>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</si>
  <si>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</si>
  <si>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</si>
  <si>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</si>
  <si>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</si>
  <si>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</si>
  <si>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</si>
  <si>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</si>
  <si>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</si>
  <si>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</si>
  <si>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</si>
  <si>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</si>
  <si>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</si>
  <si>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</si>
  <si>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</si>
  <si>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</si>
  <si>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</si>
  <si>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</si>
  <si>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</si>
  <si>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</si>
  <si>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</si>
  <si>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</si>
  <si>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</si>
  <si>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</si>
  <si>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</si>
  <si>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</si>
  <si>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</si>
  <si>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</si>
  <si>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</si>
  <si>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</si>
  <si>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</si>
  <si>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</si>
  <si>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</si>
  <si>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</si>
  <si>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</si>
  <si>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</si>
  <si>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</si>
  <si>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</si>
  <si>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</si>
  <si>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</si>
  <si>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</si>
  <si>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</si>
  <si>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</si>
  <si>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</si>
  <si>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</si>
  <si>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</si>
  <si>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</si>
  <si>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</si>
  <si>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</si>
  <si>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</si>
  <si>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</si>
  <si>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</si>
  <si>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</si>
  <si>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</si>
  <si>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</si>
  <si>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</si>
  <si>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</si>
  <si>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</si>
  <si>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</si>
  <si>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</si>
  <si>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</si>
  <si>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</si>
  <si>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</si>
  <si>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</si>
  <si>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</si>
  <si>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</si>
  <si>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</si>
  <si>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</si>
  <si>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</si>
  <si>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</si>
  <si>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</si>
  <si>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</si>
  <si>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</si>
  <si>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</si>
  <si>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</si>
  <si>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</si>
  <si>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</si>
  <si>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</si>
  <si>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</si>
  <si>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</si>
  <si>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</si>
  <si>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</si>
  <si>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</si>
  <si>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</si>
  <si>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</si>
  <si>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</si>
  <si>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</si>
  <si>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</si>
  <si>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</si>
  <si>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</si>
  <si>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</si>
  <si>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</si>
  <si>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</si>
  <si>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</si>
  <si>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</si>
  <si>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</si>
  <si>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</si>
  <si>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</si>
  <si>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</si>
  <si>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</si>
  <si>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</si>
  <si>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</si>
  <si>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</si>
  <si>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</si>
  <si>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</si>
  <si>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</si>
  <si>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</si>
  <si>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</si>
  <si>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</si>
  <si>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</si>
  <si>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</si>
  <si>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</si>
  <si>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</si>
  <si>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</si>
  <si>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</si>
  <si>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</si>
  <si>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</si>
  <si>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</si>
  <si>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</si>
  <si>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</si>
  <si>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</si>
  <si>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</si>
  <si>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</si>
  <si>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</si>
  <si>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</si>
  <si>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</si>
  <si>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</si>
  <si>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</si>
  <si>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</si>
  <si>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</si>
  <si>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</si>
  <si>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</si>
  <si>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</si>
  <si>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</si>
  <si>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</si>
  <si>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</si>
  <si>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</si>
  <si>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</si>
  <si>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</si>
  <si>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</si>
  <si>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</si>
  <si>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</si>
  <si>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</si>
  <si>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</si>
  <si>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</si>
  <si>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</si>
  <si>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</si>
  <si>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</si>
  <si>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</si>
  <si>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</si>
  <si>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</si>
  <si>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</si>
  <si>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</si>
  <si>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</si>
  <si>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</si>
  <si>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</si>
  <si>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</si>
  <si>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</si>
  <si>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</si>
  <si>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</si>
  <si>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</si>
  <si>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</si>
  <si>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</si>
  <si>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</si>
  <si>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</si>
  <si>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</si>
  <si>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</si>
  <si>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</si>
  <si>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</si>
  <si>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</si>
  <si>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</si>
  <si>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</si>
  <si>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</si>
  <si>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</si>
  <si>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</si>
  <si>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</si>
  <si>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</si>
  <si>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</si>
  <si>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</si>
  <si>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</si>
  <si>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</si>
  <si>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</si>
  <si>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</si>
  <si>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</si>
  <si>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</si>
  <si>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</si>
  <si>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</si>
  <si>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</si>
  <si>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</si>
  <si>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</si>
  <si>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</si>
  <si>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</si>
  <si>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</si>
  <si>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</si>
  <si>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</si>
  <si>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</si>
  <si>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</si>
  <si>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</si>
  <si>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</si>
  <si>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</si>
  <si>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</si>
  <si>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</si>
  <si>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</si>
  <si>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</si>
  <si>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</si>
  <si>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</si>
  <si>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</si>
  <si>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</si>
  <si>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</si>
  <si>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</si>
  <si>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</si>
  <si>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</si>
  <si>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</si>
  <si>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</si>
  <si>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</si>
  <si>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</si>
  <si>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</si>
  <si>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</si>
  <si>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</si>
  <si>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</si>
  <si>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</si>
  <si>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</si>
  <si>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</si>
  <si>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</si>
  <si>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</si>
  <si>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</si>
  <si>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</si>
  <si>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</si>
  <si>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</si>
  <si>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</si>
  <si>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</si>
  <si>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</si>
  <si>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</si>
  <si>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</si>
  <si>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</si>
  <si>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</si>
  <si>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</si>
  <si>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</si>
  <si>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</si>
  <si>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</si>
  <si>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</si>
  <si>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</si>
  <si>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</si>
  <si>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</si>
  <si>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</si>
  <si>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</si>
  <si>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</si>
  <si>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</si>
  <si>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</si>
  <si>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</si>
  <si>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</si>
  <si>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</si>
  <si>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</si>
  <si>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</si>
  <si>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</si>
  <si>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</si>
  <si>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</si>
  <si>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</si>
  <si>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</si>
  <si>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</si>
  <si>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</si>
  <si>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</si>
  <si>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</si>
  <si>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</si>
  <si>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</si>
  <si>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</si>
  <si>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</si>
  <si>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</si>
  <si>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</si>
  <si>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</si>
  <si>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</si>
  <si>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</si>
  <si>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</si>
  <si>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</si>
  <si>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</si>
  <si>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</si>
  <si>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</si>
  <si>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</si>
  <si>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</si>
  <si>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</si>
  <si>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</si>
  <si>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</si>
  <si>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</si>
  <si>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</si>
  <si>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</si>
  <si>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</si>
  <si>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</si>
  <si>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</si>
  <si>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</si>
  <si>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</si>
  <si>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</si>
  <si>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</si>
  <si>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</si>
  <si>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</si>
  <si>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</si>
  <si>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</si>
  <si>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</si>
  <si>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</si>
  <si>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</si>
  <si>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</si>
  <si>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</si>
  <si>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</si>
  <si>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</si>
  <si>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</si>
  <si>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</si>
  <si>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</si>
  <si>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</si>
  <si>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</si>
  <si>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</si>
  <si>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</si>
  <si>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</si>
  <si>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</si>
  <si>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</si>
  <si>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</si>
  <si>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</si>
  <si>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</si>
  <si>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</si>
  <si>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</si>
  <si>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</si>
  <si>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</si>
  <si>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</si>
  <si>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</si>
  <si>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</si>
  <si>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</si>
  <si>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</si>
  <si>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</si>
  <si>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</si>
  <si>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</si>
  <si>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</si>
  <si>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</si>
  <si>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</si>
  <si>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</si>
  <si>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</si>
  <si>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</si>
  <si>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</si>
  <si>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</si>
  <si>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</si>
  <si>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</si>
  <si>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</si>
  <si>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</si>
  <si>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</si>
  <si>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</si>
  <si>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</si>
  <si>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</si>
  <si>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</si>
  <si>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</si>
  <si>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</si>
  <si>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</si>
  <si>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</si>
  <si>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</si>
  <si>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</si>
  <si>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</si>
  <si>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</si>
  <si>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</si>
  <si>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</si>
  <si>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</si>
  <si>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</si>
  <si>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</si>
  <si>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</si>
  <si>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</si>
  <si>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</si>
  <si>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</si>
  <si>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</si>
  <si>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</si>
  <si>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</si>
  <si>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</si>
  <si>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</si>
  <si>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</si>
  <si>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</si>
  <si>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</si>
  <si>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</si>
  <si>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</si>
  <si>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</si>
  <si>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</si>
  <si>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</si>
  <si>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</si>
  <si>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</si>
  <si>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</si>
  <si>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</si>
  <si>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</si>
  <si>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</si>
  <si>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</si>
  <si>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</si>
  <si>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</si>
  <si>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</si>
  <si>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E-tec Interconnect AG</t>
  </si>
  <si>
    <t>CHE-107.919.330</t>
  </si>
  <si>
    <t xml:space="preserve">Friedhofstrasse 1; 2543 Lengnau; Switzerland </t>
  </si>
  <si>
    <t>Pablo Rodriguez</t>
  </si>
  <si>
    <t>request@e-tec.com</t>
  </si>
  <si>
    <t>+41326541550</t>
  </si>
  <si>
    <t>CEO</t>
  </si>
  <si>
    <t>The material of plating surface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</si>
</sst>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61" xfId="0" quotePrefix="1" applyNumberFormat="1" applyFont="1" applyFill="1" applyBorder="1" applyAlignment="1" applyProtection="1">
      <alignment horizontal="left" vertical="center" wrapText="1"/>
      <protection locked="0"/>
    </xf>
    <xf numFmtId="49" fontId="15" fillId="0" borderId="61" xfId="0" quotePrefix="1"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7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33.75">
      <c r="A13" s="351"/>
      <c r="B13" s="2">
        <v>1</v>
      </c>
      <c r="C13" s="37" t="s">
        <v>1111</v>
      </c>
      <c r="D13" s="39" t="s">
        <v>899</v>
      </c>
      <c r="E13" s="196" t="s">
        <v>876</v>
      </c>
      <c r="F13" s="196"/>
      <c r="G13" s="34"/>
    </row>
    <row r="14" spans="1:7" ht="33.75">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45" customHeight="1">
      <c r="A29" s="351"/>
      <c r="B29" s="364"/>
      <c r="C29" s="358"/>
      <c r="D29" s="361"/>
      <c r="E29" s="349"/>
      <c r="F29" s="198" t="s">
        <v>63</v>
      </c>
      <c r="G29" s="34"/>
    </row>
    <row r="30" spans="1:7" ht="62.4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4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26.75">
      <c r="A36" s="351"/>
      <c r="B36" s="365"/>
      <c r="C36" s="359"/>
      <c r="D36" s="362"/>
      <c r="E36" s="350"/>
      <c r="F36" s="199" t="s">
        <v>71</v>
      </c>
      <c r="G36" s="34"/>
    </row>
    <row r="37" spans="1:7" ht="112.5">
      <c r="A37" s="351"/>
      <c r="B37" s="171">
        <v>3.01</v>
      </c>
      <c r="C37" s="172" t="s">
        <v>72</v>
      </c>
      <c r="D37" s="39" t="s">
        <v>2363</v>
      </c>
      <c r="E37" s="200" t="s">
        <v>1351</v>
      </c>
      <c r="F37" s="201" t="s">
        <v>1457</v>
      </c>
      <c r="G37" s="34"/>
    </row>
    <row r="38" spans="1:7" ht="101.25">
      <c r="A38" s="351"/>
      <c r="B38" s="171">
        <v>3.02</v>
      </c>
      <c r="C38" s="172" t="s">
        <v>1384</v>
      </c>
      <c r="D38" s="39" t="s">
        <v>2364</v>
      </c>
      <c r="E38" s="200" t="s">
        <v>1399</v>
      </c>
      <c r="F38" s="201" t="s">
        <v>1458</v>
      </c>
      <c r="G38" s="34"/>
    </row>
    <row r="39" spans="1:7" ht="101.25">
      <c r="A39" s="351"/>
      <c r="B39" s="182">
        <v>4</v>
      </c>
      <c r="C39" s="181" t="s">
        <v>1554</v>
      </c>
      <c r="D39" s="39" t="s">
        <v>2365</v>
      </c>
      <c r="E39" s="37" t="s">
        <v>2307</v>
      </c>
      <c r="F39" s="37" t="s">
        <v>1555</v>
      </c>
      <c r="G39" s="34"/>
    </row>
    <row r="40" spans="1:7" ht="56.25">
      <c r="A40" s="351"/>
      <c r="B40" s="171">
        <v>4.01</v>
      </c>
      <c r="C40" s="181" t="s">
        <v>1554</v>
      </c>
      <c r="D40" s="39" t="s">
        <v>2367</v>
      </c>
      <c r="E40" s="37" t="s">
        <v>2321</v>
      </c>
      <c r="F40" s="37" t="s">
        <v>2326</v>
      </c>
      <c r="G40" s="34"/>
    </row>
    <row r="41" spans="1:7" ht="56.25">
      <c r="A41" s="351"/>
      <c r="B41" s="171" t="s">
        <v>2354</v>
      </c>
      <c r="C41" s="181" t="s">
        <v>1554</v>
      </c>
      <c r="D41" s="39" t="s">
        <v>2366</v>
      </c>
      <c r="E41" s="37" t="s">
        <v>2357</v>
      </c>
      <c r="F41" s="37" t="s">
        <v>2355</v>
      </c>
      <c r="G41" s="34"/>
    </row>
    <row r="42" spans="1:7" ht="56.25">
      <c r="A42" s="351"/>
      <c r="B42" s="171" t="s">
        <v>2399</v>
      </c>
      <c r="C42" s="181" t="s">
        <v>1554</v>
      </c>
      <c r="D42" s="39" t="s">
        <v>2406</v>
      </c>
      <c r="E42" s="37" t="s">
        <v>2356</v>
      </c>
      <c r="F42" s="37" t="s">
        <v>2400</v>
      </c>
      <c r="G42" s="34"/>
    </row>
    <row r="43" spans="1:7" ht="123.75">
      <c r="A43" s="351"/>
      <c r="B43" s="193">
        <v>4.0999999999999996</v>
      </c>
      <c r="C43" s="181" t="s">
        <v>2405</v>
      </c>
      <c r="D43" s="194">
        <v>42867</v>
      </c>
      <c r="E43" s="202" t="s">
        <v>2408</v>
      </c>
      <c r="F43" s="37" t="s">
        <v>2407</v>
      </c>
      <c r="G43" s="34"/>
    </row>
    <row r="44" spans="1:7" ht="78.75">
      <c r="A44" s="351"/>
      <c r="B44" s="193">
        <v>4.2</v>
      </c>
      <c r="C44" s="181" t="s">
        <v>2405</v>
      </c>
      <c r="D44" s="194">
        <v>42704</v>
      </c>
      <c r="E44" s="202" t="s">
        <v>2625</v>
      </c>
      <c r="F44" s="37" t="s">
        <v>2598</v>
      </c>
      <c r="G44" s="34"/>
    </row>
    <row r="45" spans="1:7" ht="157.5">
      <c r="A45" s="351"/>
      <c r="B45" s="243">
        <v>5</v>
      </c>
      <c r="C45" s="181" t="s">
        <v>2405</v>
      </c>
      <c r="D45" s="194">
        <v>42867</v>
      </c>
      <c r="E45" s="202" t="s">
        <v>13032</v>
      </c>
      <c r="F45" s="37" t="s">
        <v>12754</v>
      </c>
      <c r="G45" s="34"/>
    </row>
    <row r="46" spans="1:7" ht="45">
      <c r="A46" s="351"/>
      <c r="B46" s="193">
        <v>5.01</v>
      </c>
      <c r="C46" s="181" t="s">
        <v>2405</v>
      </c>
      <c r="D46" s="194">
        <v>42907</v>
      </c>
      <c r="E46" s="202" t="s">
        <v>13052</v>
      </c>
      <c r="F46" s="37" t="s">
        <v>12754</v>
      </c>
      <c r="G46" s="34"/>
    </row>
    <row r="47" spans="1:7" ht="67.5">
      <c r="A47" s="351"/>
      <c r="B47" s="193">
        <v>5.0999999999999996</v>
      </c>
      <c r="C47" s="181" t="s">
        <v>2405</v>
      </c>
      <c r="D47" s="194">
        <v>43070</v>
      </c>
      <c r="E47" s="202" t="s">
        <v>13247</v>
      </c>
      <c r="F47" s="37" t="s">
        <v>13248</v>
      </c>
      <c r="G47" s="34"/>
    </row>
    <row r="48" spans="1:7" ht="56.25">
      <c r="A48" s="351"/>
      <c r="B48" s="193">
        <v>5.1100000000000003</v>
      </c>
      <c r="C48" s="181" t="s">
        <v>13489</v>
      </c>
      <c r="D48" s="194">
        <v>43217</v>
      </c>
      <c r="E48" s="202" t="s">
        <v>13617</v>
      </c>
      <c r="F48" s="37" t="s">
        <v>13523</v>
      </c>
      <c r="G48" s="34"/>
    </row>
    <row r="49" spans="1:7" ht="56.25">
      <c r="A49" s="351"/>
      <c r="B49" s="193">
        <v>5.12</v>
      </c>
      <c r="C49" s="181" t="s">
        <v>13489</v>
      </c>
      <c r="D49" s="194">
        <v>43581</v>
      </c>
      <c r="E49" s="202" t="s">
        <v>13617</v>
      </c>
      <c r="F49" s="37" t="s">
        <v>14191</v>
      </c>
      <c r="G49" s="34"/>
    </row>
    <row r="50" spans="1:7" ht="78.75">
      <c r="A50" s="351"/>
      <c r="B50" s="243">
        <v>6</v>
      </c>
      <c r="C50" s="181" t="s">
        <v>13489</v>
      </c>
      <c r="D50" s="194">
        <v>43964</v>
      </c>
      <c r="E50" s="202" t="s">
        <v>14434</v>
      </c>
      <c r="F50" s="37" t="s">
        <v>14205</v>
      </c>
      <c r="G50" s="34"/>
    </row>
    <row r="51" spans="1:7" ht="45">
      <c r="A51" s="351"/>
      <c r="B51" s="193">
        <v>6.01</v>
      </c>
      <c r="C51" s="181" t="s">
        <v>13489</v>
      </c>
      <c r="D51" s="194">
        <v>43970</v>
      </c>
      <c r="E51" s="202" t="s">
        <v>15504</v>
      </c>
      <c r="F51" s="202" t="s">
        <v>14205</v>
      </c>
      <c r="G51" s="34"/>
    </row>
    <row r="52" spans="1:7" ht="13.5" thickBot="1">
      <c r="A52" s="352"/>
      <c r="B52" s="353" t="str">
        <f ca="1">OFFSET(L!$C$1,MATCH("General"&amp;"Cpy",L!$A:$A,0)-1,SL,,)</f>
        <v>© 2020 Responsible Minerals Initiative. All rights reserved.</v>
      </c>
      <c r="C52" s="353"/>
      <c r="D52" s="353"/>
      <c r="E52" s="353"/>
      <c r="F52" s="353"/>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12" sqref="D11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15506</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15507</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15508</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15509</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15510</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15511</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50" t="s">
        <v>15512</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15510</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15513</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15511</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51" t="s">
        <v>15512</v>
      </c>
      <c r="E21" s="433"/>
      <c r="F21" s="433"/>
      <c r="G21" s="433"/>
      <c r="H21" s="433"/>
      <c r="I21" s="433"/>
      <c r="J21" s="43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5">
        <v>43984</v>
      </c>
      <c r="E22" s="436"/>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7" t="str">
        <f ca="1">OFFSET(L!$C$1,MATCH("Declaration"&amp;ADDRESS(ROW(),COLUMN(),4),L!$A:$A,0)-1,SL,,)</f>
        <v>Answer the following questions 1 - 8 based on the declaration scope indicated above</v>
      </c>
      <c r="C24" s="437"/>
      <c r="D24" s="437"/>
      <c r="E24" s="437"/>
      <c r="F24" s="437"/>
      <c r="G24" s="437"/>
      <c r="H24" s="437"/>
      <c r="I24" s="437"/>
      <c r="J24" s="43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t="s">
        <v>15514</v>
      </c>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t="s">
        <v>15514</v>
      </c>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499</v>
      </c>
      <c r="E77" s="379"/>
      <c r="F77" s="68"/>
      <c r="G77" s="406"/>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15443</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D14" sqref="D14"/>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8" t="str">
        <f ca="1">OFFSET(L!$C$1,MATCH("Smelter List"&amp;ADDRESS(ROW(),COLUMN(),4),L!$A:$A,0)-1,SL,,)</f>
        <v>Link to "RMAP Conformant Smelter List"</v>
      </c>
      <c r="K2" s="439"/>
      <c r="L2" s="439"/>
      <c r="M2" s="439"/>
      <c r="N2" s="439"/>
      <c r="O2" s="439"/>
      <c r="P2" s="234"/>
      <c r="Q2" s="235"/>
      <c r="R2" s="236"/>
      <c r="S2" s="236"/>
      <c r="T2" s="236"/>
      <c r="U2" s="267"/>
      <c r="V2" s="267"/>
      <c r="W2" s="268"/>
      <c r="X2" s="267"/>
      <c r="Y2" s="267"/>
      <c r="Z2" s="267"/>
      <c r="AH2" s="176" t="s">
        <v>498</v>
      </c>
    </row>
    <row r="3" spans="1:34" s="269" customFormat="1" ht="243.95"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70"/>
      <c r="G3" s="441" t="str">
        <f ca="1">OFFSET(L!$C$1,MATCH("General"&amp;"Cpy",L!$A:$A,0)-1,SL,,)</f>
        <v>© 2020 Responsible Minerals Initiative. All rights reserved.</v>
      </c>
      <c r="H3" s="441"/>
      <c r="I3" s="442"/>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1153</v>
      </c>
      <c r="C5" s="221" t="s">
        <v>1190</v>
      </c>
      <c r="D5" s="283"/>
      <c r="E5" s="217" t="str">
        <f ca="1">IF(ISERROR($V5),"",OFFSET('Smelter Look-up'!$D$4,$V5-4,0)&amp;"")</f>
        <v>SWITZERLAND</v>
      </c>
      <c r="F5" s="217" t="str">
        <f ca="1">IF(ISERROR($V5),"",OFFSET('Smelter Look-up'!$E$4,$V5-4,0))</f>
        <v>CID001153</v>
      </c>
      <c r="G5" s="217" t="str">
        <f ca="1">IF(C5=$X$4,"Enter smelter details",IF(ISERROR($V5),"",OFFSET('Smelter Look-up'!$F$4,$V5-4,0)))</f>
        <v>RMI</v>
      </c>
      <c r="H5" s="218">
        <f ca="1">IF(ISERROR($V5),"",OFFSET('Smelter Look-up'!$G$4,$V5-4,0))</f>
        <v>0</v>
      </c>
      <c r="I5" s="219" t="str">
        <f ca="1">IF(ISERROR($V5),"",OFFSET('Smelter Look-up'!$H$4,$V5-4,0))</f>
        <v>Marin</v>
      </c>
      <c r="J5" s="219" t="str">
        <f ca="1">IF(ISERROR($V5),"",OFFSET('Smelter Look-up'!$I$4,$V5-4,0))</f>
        <v>Neuchâtel</v>
      </c>
      <c r="K5" s="273"/>
      <c r="L5" s="273"/>
      <c r="M5" s="273"/>
      <c r="N5" s="273"/>
      <c r="O5" s="273"/>
      <c r="P5" s="220"/>
      <c r="Q5" s="274"/>
      <c r="R5" s="217" t="str">
        <f ca="1">IF(ISERROR($V5),"",OFFSET('Smelter Look-up'!$C$4,$V5-4,0)&amp;"")</f>
        <v>Metalor Technologies S.A.</v>
      </c>
      <c r="S5" s="225" t="str">
        <f t="shared" ref="S5" ca="1" si="0">IF(B5="","",IF(ISERROR(MATCH($E5,CL,0)),"Unknown",INDIRECT("'C'!$A$"&amp;MATCH($E5,CL,0)+1)))</f>
        <v>CH</v>
      </c>
      <c r="T5" s="225" t="str">
        <f ca="1">IF(B5="","",IF(ISERROR(MATCH($J5,SorP!$B$1:$B$6230,0)),"",INDIRECT("'SorP'!$A$"&amp;MATCH($J5,SorP!$B$1:$B$6230,0))))</f>
        <v>CH-NE</v>
      </c>
      <c r="U5" s="241"/>
      <c r="V5" s="275">
        <f>IF(C5="",NA(),MATCH($B5&amp;$C5,'Smelter Look-up'!$J:$J,0))</f>
        <v>154</v>
      </c>
      <c r="W5" s="276"/>
      <c r="X5" s="276">
        <f t="shared" ref="X5" ca="1" si="1">IF(AND(C5="Smelter not listed",OR(LEN(D5)=0,LEN(E5)=0)),1,0)</f>
        <v>0</v>
      </c>
      <c r="Y5" s="276"/>
      <c r="Z5" s="276"/>
      <c r="AB5" s="278" t="str">
        <f t="shared" ref="AB5" si="2">B5&amp;C5</f>
        <v>GoldMetalor Switzerland</v>
      </c>
    </row>
    <row r="6" spans="1:34" s="277" customFormat="1" ht="20.100000000000001" customHeight="1">
      <c r="A6" s="332"/>
      <c r="B6" s="217" t="s">
        <v>1154</v>
      </c>
      <c r="C6" s="221" t="s">
        <v>1054</v>
      </c>
      <c r="D6" s="283"/>
      <c r="E6" s="217" t="str">
        <f ca="1">IF(ISERROR($V6),"",OFFSET('Smelter Look-up'!$D$4,$V6-4,0)&amp;"")</f>
        <v>THAILAND</v>
      </c>
      <c r="F6" s="217" t="str">
        <f ca="1">IF(ISERROR($V6),"",OFFSET('Smelter Look-up'!$E$4,$V6-4,0))</f>
        <v>CID001898</v>
      </c>
      <c r="G6" s="217" t="str">
        <f ca="1">IF(C6=$X$4,"Enter smelter details",IF(ISERROR($V6),"",OFFSET('Smelter Look-up'!$F$4,$V6-4,0)))</f>
        <v>RMI</v>
      </c>
      <c r="H6" s="218">
        <f ca="1">IF(ISERROR($V6),"",OFFSET('Smelter Look-up'!$G$4,$V6-4,0))</f>
        <v>0</v>
      </c>
      <c r="I6" s="219" t="str">
        <f ca="1">IF(ISERROR($V6),"",OFFSET('Smelter Look-up'!$H$4,$V6-4,0))</f>
        <v>Amphur Muang</v>
      </c>
      <c r="J6" s="219" t="str">
        <f ca="1">IF(ISERROR($V6),"",OFFSET('Smelter Look-up'!$I$4,$V6-4,0))</f>
        <v>Phuket</v>
      </c>
      <c r="K6" s="273"/>
      <c r="L6" s="273"/>
      <c r="M6" s="273"/>
      <c r="N6" s="273"/>
      <c r="O6" s="273"/>
      <c r="P6" s="220"/>
      <c r="Q6" s="274"/>
      <c r="R6" s="217" t="str">
        <f ca="1">IF(ISERROR($V6),"",OFFSET('Smelter Look-up'!$C$4,$V6-4,0)&amp;"")</f>
        <v>Thaisarco</v>
      </c>
      <c r="S6" s="225" t="str">
        <f t="shared" ref="S6:S37" ca="1" si="3">IF(B6="","",IF(ISERROR(MATCH($E6,CL,0)),"Unknown",INDIRECT("'C'!$A$"&amp;MATCH($E6,CL,0)+1)))</f>
        <v>TH</v>
      </c>
      <c r="T6" s="225" t="str">
        <f ca="1">IF(B6="","",IF(ISERROR(MATCH($J6,SorP!$B$1:$B$6230,0)),"",INDIRECT("'SorP'!$A$"&amp;MATCH($J6,SorP!$B$1:$B$6230,0))))</f>
        <v>TH-83</v>
      </c>
      <c r="U6" s="241"/>
      <c r="V6" s="275">
        <f>IF(C6="",NA(),MATCH($B6&amp;$C6,'Smelter Look-up'!$J:$J,0))</f>
        <v>458</v>
      </c>
      <c r="W6" s="276"/>
      <c r="X6" s="276">
        <f t="shared" ref="X6:X37" ca="1" si="4">IF(AND(C6="Smelter not listed",OR(LEN(D6)=0,LEN(E6)=0)),1,0)</f>
        <v>0</v>
      </c>
      <c r="Y6" s="276"/>
      <c r="Z6" s="276"/>
      <c r="AB6" s="278" t="str">
        <f t="shared" ref="AB6:AB37" si="5">B6&amp;C6</f>
        <v>TinThaisarco</v>
      </c>
    </row>
    <row r="7" spans="1:34" s="277" customFormat="1" ht="20.100000000000001" customHeight="1">
      <c r="A7" s="332"/>
      <c r="B7" s="217" t="s">
        <v>1153</v>
      </c>
      <c r="C7" s="221" t="s">
        <v>2268</v>
      </c>
      <c r="D7" s="283"/>
      <c r="E7" s="217" t="str">
        <f ca="1">IF(ISERROR($V7),"",OFFSET('Smelter Look-up'!$D$4,$V7-4,0)&amp;"")</f>
        <v>CHINA</v>
      </c>
      <c r="F7" s="217" t="str">
        <f ca="1">IF(ISERROR($V7),"",OFFSET('Smelter Look-up'!$E$4,$V7-4,0))</f>
        <v>CID001916</v>
      </c>
      <c r="G7" s="217" t="str">
        <f ca="1">IF(C7=$X$4,"Enter smelter details",IF(ISERROR($V7),"",OFFSET('Smelter Look-up'!$F$4,$V7-4,0)))</f>
        <v>RMI</v>
      </c>
      <c r="H7" s="218">
        <f ca="1">IF(ISERROR($V7),"",OFFSET('Smelter Look-up'!$G$4,$V7-4,0))</f>
        <v>0</v>
      </c>
      <c r="I7" s="219" t="str">
        <f ca="1">IF(ISERROR($V7),"",OFFSET('Smelter Look-up'!$H$4,$V7-4,0))</f>
        <v>Laizhou</v>
      </c>
      <c r="J7" s="219" t="str">
        <f ca="1">IF(ISERROR($V7),"",OFFSET('Smelter Look-up'!$I$4,$V7-4,0))</f>
        <v>Shandong Sheng</v>
      </c>
      <c r="K7" s="273"/>
      <c r="L7" s="273"/>
      <c r="M7" s="273"/>
      <c r="N7" s="273"/>
      <c r="O7" s="273"/>
      <c r="P7" s="220"/>
      <c r="Q7" s="274"/>
      <c r="R7" s="217" t="str">
        <f ca="1">IF(ISERROR($V7),"",OFFSET('Smelter Look-up'!$C$4,$V7-4,0)&amp;"")</f>
        <v>The Refinery of Shandong Gold Mining Co., Ltd.</v>
      </c>
      <c r="S7" s="225" t="str">
        <f t="shared" ca="1" si="3"/>
        <v>CN</v>
      </c>
      <c r="T7" s="225" t="str">
        <f ca="1">IF(B7="","",IF(ISERROR(MATCH($J7,SorP!$B$1:$B$6230,0)),"",INDIRECT("'SorP'!$A$"&amp;MATCH($J7,SorP!$B$1:$B$6230,0))))</f>
        <v>CN-SD</v>
      </c>
      <c r="U7" s="241"/>
      <c r="V7" s="275">
        <f>IF(C7="",NA(),MATCH($B7&amp;$C7,'Smelter Look-up'!$J:$J,0))</f>
        <v>256</v>
      </c>
      <c r="W7" s="276"/>
      <c r="X7" s="276">
        <f t="shared" ca="1" si="4"/>
        <v>0</v>
      </c>
      <c r="Y7" s="276"/>
      <c r="Z7" s="276"/>
      <c r="AB7" s="278" t="str">
        <f t="shared" si="5"/>
        <v>GoldThe Refinery of Shandong Gold Mining Co., Ltd.</v>
      </c>
    </row>
    <row r="8" spans="1:34" s="277" customFormat="1" ht="20.100000000000001" customHeight="1">
      <c r="A8" s="332"/>
      <c r="B8" s="217" t="s">
        <v>1154</v>
      </c>
      <c r="C8" s="221" t="s">
        <v>14151</v>
      </c>
      <c r="D8" s="283"/>
      <c r="E8" s="217" t="str">
        <f ca="1">IF(ISERROR($V8),"",OFFSET('Smelter Look-up'!$D$4,$V8-4,0)&amp;"")</f>
        <v>INDONESIA</v>
      </c>
      <c r="F8" s="217" t="str">
        <f ca="1">IF(ISERROR($V8),"",OFFSET('Smelter Look-up'!$E$4,$V8-4,0))</f>
        <v>CID001482</v>
      </c>
      <c r="G8" s="217" t="str">
        <f ca="1">IF(C8=$X$4,"Enter smelter details",IF(ISERROR($V8),"",OFFSET('Smelter Look-up'!$F$4,$V8-4,0)))</f>
        <v>RMI</v>
      </c>
      <c r="H8" s="218">
        <f ca="1">IF(ISERROR($V8),"",OFFSET('Smelter Look-up'!$G$4,$V8-4,0))</f>
        <v>0</v>
      </c>
      <c r="I8" s="219" t="str">
        <f ca="1">IF(ISERROR($V8),"",OFFSET('Smelter Look-up'!$H$4,$V8-4,0))</f>
        <v>Mentok</v>
      </c>
      <c r="J8" s="219" t="str">
        <f ca="1">IF(ISERROR($V8),"",OFFSET('Smelter Look-up'!$I$4,$V8-4,0))</f>
        <v>Kepulauan Bangka Belitung</v>
      </c>
      <c r="K8" s="273"/>
      <c r="L8" s="273"/>
      <c r="M8" s="273"/>
      <c r="N8" s="273"/>
      <c r="O8" s="273"/>
      <c r="P8" s="220"/>
      <c r="Q8" s="274"/>
      <c r="R8" s="217" t="str">
        <f ca="1">IF(ISERROR($V8),"",OFFSET('Smelter Look-up'!$C$4,$V8-4,0)&amp;"")</f>
        <v>PT Timah Tbk Mentok</v>
      </c>
      <c r="S8" s="225" t="str">
        <f t="shared" ca="1" si="3"/>
        <v>ID</v>
      </c>
      <c r="T8" s="225" t="str">
        <f ca="1">IF(B8="","",IF(ISERROR(MATCH($J8,SorP!$B$1:$B$6230,0)),"",INDIRECT("'SorP'!$A$"&amp;MATCH($J8,SorP!$B$1:$B$6230,0))))</f>
        <v>ID-BB</v>
      </c>
      <c r="U8" s="241"/>
      <c r="V8" s="275">
        <f>IF(C8="",NA(),MATCH($B8&amp;$C8,'Smelter Look-up'!$J:$J,0))</f>
        <v>446</v>
      </c>
      <c r="W8" s="276"/>
      <c r="X8" s="276">
        <f t="shared" ca="1" si="4"/>
        <v>0</v>
      </c>
      <c r="Y8" s="276"/>
      <c r="Z8" s="276"/>
      <c r="AB8" s="278" t="str">
        <f t="shared" si="5"/>
        <v>TinPT Timah Tbk Mentok</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E-tec Interconnect AG</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Pablo Rodriguez</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request@e-tec.com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+41326541550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Pablo Rodriguez</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request@e-tec.com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43984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45"/>
    </row>
    <row r="2" spans="1:6">
      <c r="A2" s="29"/>
      <c r="B2" s="147"/>
      <c r="C2" s="147"/>
      <c r="D2"/>
      <c r="E2" s="30"/>
    </row>
    <row r="3" spans="1:6">
      <c r="A3" s="29"/>
      <c r="B3" s="147"/>
      <c r="C3" s="147"/>
      <c r="D3" s="147"/>
      <c r="E3" s="30"/>
    </row>
    <row r="4" spans="1:6" ht="15.75" customHeight="1">
      <c r="A4" s="29"/>
      <c r="B4" s="444" t="s">
        <v>921</v>
      </c>
      <c r="C4" s="444"/>
      <c r="D4" s="444"/>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7" t="str">
        <f ca="1">OFFSET(L!$C$1,MATCH("General"&amp;"Cpy",L!$A:$A,0)-1,SL,,)</f>
        <v>© 2020 Responsible Minerals Initiative. All rights reserved.</v>
      </c>
      <c r="C1001" s="447"/>
      <c r="D1001" s="447"/>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45">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30">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16.7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05">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78.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70.7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0">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28.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060324a1-f66f-4c36-a8ec-beadbf2f4219"/>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Pablo Rodriguez</cp:lastModifiedBy>
  <cp:lastPrinted>2015-04-21T20:47:43Z</cp:lastPrinted>
  <dcterms:created xsi:type="dcterms:W3CDTF">2010-06-21T21:00:23Z</dcterms:created>
  <dcterms:modified xsi:type="dcterms:W3CDTF">2020-06-04T07:11:49Z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